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D:\Manorwood Dropbox\Manorwood Construction\Manorwood\Jobs\_2025\land north of Jolesfield Cottages - 2510LA\PDFs for issue\Issued For Review\"/>
    </mc:Choice>
  </mc:AlternateContent>
  <xr:revisionPtr revIDLastSave="0" documentId="8_{F1D25F4E-086C-4B80-B998-A592AF968368}"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28920" yWindow="465" windowWidth="29040" windowHeight="15720" tabRatio="730" activeTab="7"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0" l="1"/>
  <c r="E18" i="15"/>
  <c r="E19" i="15"/>
  <c r="E17" i="15"/>
  <c r="E14" i="15"/>
  <c r="E15" i="15"/>
  <c r="E13" i="15"/>
  <c r="I61" i="1"/>
  <c r="K32" i="1"/>
  <c r="J32" i="1"/>
  <c r="I32" i="1"/>
  <c r="I33" i="1" s="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5" i="1" l="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27" i="1" l="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I60" i="21" s="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E24" i="22" s="1"/>
  <c r="AI23" i="22"/>
  <c r="AG23" i="22"/>
  <c r="AB23" i="22"/>
  <c r="AD23" i="22" s="1"/>
  <c r="AI22" i="22"/>
  <c r="AG22" i="22"/>
  <c r="AB22" i="22"/>
  <c r="AD22" i="22" s="1"/>
  <c r="AE22" i="22" s="1"/>
  <c r="AI21" i="22"/>
  <c r="AG21" i="22"/>
  <c r="AB21" i="22"/>
  <c r="AD21" i="22" s="1"/>
  <c r="AE21" i="22" s="1"/>
  <c r="AI20" i="22"/>
  <c r="AG20" i="22"/>
  <c r="AB20" i="22"/>
  <c r="AD20" i="22" s="1"/>
  <c r="AI19" i="22"/>
  <c r="AG19" i="22"/>
  <c r="AB19" i="22"/>
  <c r="AD19" i="22" s="1"/>
  <c r="AE19" i="22" s="1"/>
  <c r="AI18" i="22"/>
  <c r="AG18" i="22"/>
  <c r="AB18" i="22"/>
  <c r="AC18" i="22" s="1"/>
  <c r="AI17" i="22"/>
  <c r="AG17" i="22"/>
  <c r="AB17" i="22"/>
  <c r="AD17" i="22" s="1"/>
  <c r="AI16" i="22"/>
  <c r="AB16" i="22"/>
  <c r="AD16" i="22" s="1"/>
  <c r="AE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I32" i="22" l="1"/>
  <c r="I33" i="22"/>
  <c r="AQ66" i="21"/>
  <c r="AR66" i="21" s="1"/>
  <c r="AS66" i="21"/>
  <c r="AT66" i="21" s="1"/>
  <c r="N22" i="22"/>
  <c r="N15" i="22"/>
  <c r="N19" i="22"/>
  <c r="N23" i="22"/>
  <c r="N27" i="22"/>
  <c r="N16" i="22"/>
  <c r="N21" i="22"/>
  <c r="N24" i="22"/>
  <c r="N20" i="22"/>
  <c r="N29" i="22"/>
  <c r="N17" i="22"/>
  <c r="N28" i="22"/>
  <c r="AE12" i="22"/>
  <c r="AR12" i="22"/>
  <c r="AR13" i="22"/>
  <c r="L39" i="21"/>
  <c r="AE29" i="22"/>
  <c r="AE28" i="22"/>
  <c r="AE27" i="22"/>
  <c r="AE23" i="22"/>
  <c r="AE20" i="22"/>
  <c r="AE17" i="22"/>
  <c r="AE15" i="22"/>
  <c r="AE13" i="22"/>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E30" i="22"/>
  <c r="AE26" i="22"/>
  <c r="AE25" i="22"/>
  <c r="AE18" i="22"/>
  <c r="AC69" i="22"/>
  <c r="AE14"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11" i="22"/>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E85" i="22"/>
  <c r="AD85" i="22"/>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5" i="22"/>
  <c r="G105" i="22"/>
  <c r="P4" i="21"/>
  <c r="D16" i="11" s="1"/>
  <c r="D28" i="11" s="1"/>
  <c r="P5" i="21"/>
  <c r="P4" i="22"/>
  <c r="D17" i="11" s="1"/>
  <c r="D29" i="11" s="1"/>
  <c r="M86" i="21"/>
  <c r="H103" i="21" l="1"/>
  <c r="F114" i="21"/>
  <c r="I113" i="21" s="1"/>
  <c r="E114" i="21"/>
  <c r="G107" i="22"/>
  <c r="I106" i="22" s="1"/>
  <c r="E97" i="22" s="1" a="1"/>
  <c r="E97" i="22" s="1"/>
  <c r="G116" i="21"/>
  <c r="G108" i="22"/>
  <c r="G109" i="22"/>
  <c r="F115" i="21"/>
  <c r="F116" i="21"/>
  <c r="F117" i="21" s="1"/>
  <c r="G115" i="21"/>
  <c r="D38" i="11"/>
  <c r="D37" i="11"/>
  <c r="D21" i="11"/>
  <c r="E21" i="11" s="1" a="1"/>
  <c r="E21" i="11" s="1"/>
  <c r="H109" i="21" l="1"/>
  <c r="I112"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L14" i="1" s="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F131" i="1" s="1"/>
  <c r="L12" i="1"/>
  <c r="L11" i="1"/>
  <c r="F125" i="1"/>
  <c r="I125" i="1" s="1"/>
  <c r="X87" i="1"/>
  <c r="AF30" i="1"/>
  <c r="AE30" i="1"/>
  <c r="X86" i="1"/>
  <c r="AE29" i="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G124" i="1" l="1"/>
  <c r="L70" i="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I131" i="1" s="1"/>
  <c r="J131" i="1" s="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<sst xmlns="http://schemas.openxmlformats.org/spreadsheetml/2006/main" count="3185" uniqueCount="1063">
  <si>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</si>
  <si>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</si>
  <si>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</si>
  <si>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</si>
  <si>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</si>
  <si>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</si>
  <si>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</si>
  <si>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</si>
  <si>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</si>
  <si>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</si>
  <si>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</si>
  <si>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</si>
  <si>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</si>
  <si>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</si>
  <si>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</si>
  <si>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</si>
  <si>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</si>
  <si>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</si>
  <si>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</si>
  <si>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</si>
  <si>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</si>
  <si>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</si>
  <si>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</si>
  <si>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</si>
  <si>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</si>
  <si>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</si>
  <si>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10a. Habitat</t>
  </si>
  <si>
    <t>10b. Hedgerow</t>
  </si>
  <si>
    <t>10c. Watercourses</t>
  </si>
  <si>
    <t>11a. Habitat units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</si>
  <si>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</si>
  <si>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</si>
  <si>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</si>
  <si>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</si>
  <si>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</si>
  <si>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</si>
  <si>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</si>
  <si>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</si>
  <si>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</si>
  <si>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</si>
  <si>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</si>
  <si>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</si>
  <si>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</si>
  <si>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</si>
  <si>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</si>
  <si>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</si>
  <si>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</si>
  <si>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</si>
  <si>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</si>
  <si>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</si>
  <si>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</si>
  <si>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</si>
  <si>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</si>
  <si>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</si>
  <si>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</si>
  <si>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</si>
  <si>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</si>
  <si>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</si>
  <si>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</si>
  <si>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</si>
  <si>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</si>
  <si>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</si>
  <si>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</si>
  <si>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</si>
  <si>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</si>
  <si>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</si>
  <si>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</si>
  <si>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</si>
  <si>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</si>
  <si>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</si>
  <si>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</si>
  <si>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</si>
  <si>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</si>
  <si>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</si>
  <si>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</si>
  <si>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</si>
  <si>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</si>
  <si>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</si>
  <si>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</si>
  <si>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</si>
  <si>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</si>
  <si>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</si>
  <si>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</si>
  <si>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</si>
  <si>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</si>
  <si>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</si>
  <si>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</si>
  <si>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</si>
  <si>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</si>
  <si>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</si>
  <si>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</si>
  <si>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</si>
  <si>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</si>
  <si>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</si>
  <si>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</si>
  <si>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</si>
  <si>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</si>
  <si>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</si>
  <si>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</si>
  <si>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</si>
  <si>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</si>
  <si>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</si>
  <si>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</si>
  <si>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</si>
  <si>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</si>
  <si>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</si>
  <si>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</si>
  <si>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</si>
  <si>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</si>
  <si>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</si>
  <si>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</si>
  <si>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</si>
  <si>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</si>
  <si>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</si>
  <si>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</si>
  <si>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</si>
  <si>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</si>
  <si>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</si>
  <si>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</si>
  <si>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</si>
  <si>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</si>
  <si>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</si>
  <si>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</si>
  <si>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</si>
  <si>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</si>
  <si>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</si>
  <si>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</si>
  <si>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</si>
  <si>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</si>
  <si>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</si>
  <si>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</si>
  <si>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</si>
  <si>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</si>
  <si>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</si>
  <si>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</si>
  <si>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</si>
  <si>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</si>
  <si>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</si>
  <si>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</si>
  <si>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</si>
  <si>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</si>
  <si>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</si>
  <si>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</si>
  <si>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</si>
  <si>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</si>
  <si>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</si>
  <si>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</si>
  <si>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</si>
  <si>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</si>
  <si>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</si>
  <si>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</si>
  <si>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</si>
  <si>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</si>
  <si>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</si>
  <si>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</si>
  <si>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</si>
  <si>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</si>
  <si>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</si>
  <si>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</si>
  <si>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</si>
  <si>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</si>
  <si>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</si>
  <si>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</si>
  <si>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</si>
  <si>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</si>
  <si>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</si>
  <si>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</si>
  <si>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</si>
  <si>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</si>
  <si>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</si>
  <si>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</si>
  <si>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</si>
  <si>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</si>
  <si>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</si>
  <si>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</si>
  <si>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</si>
  <si>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</si>
  <si>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</si>
  <si>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</si>
  <si>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</si>
  <si>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</si>
  <si>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</si>
  <si>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</si>
  <si>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</si>
  <si>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</si>
  <si>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</si>
  <si>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</si>
  <si>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</si>
  <si>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</si>
  <si>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</si>
  <si>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</si>
  <si>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</si>
  <si>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</si>
  <si>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</si>
  <si>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</si>
  <si>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</si>
  <si>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</si>
  <si>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</si>
  <si>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</si>
  <si>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</si>
  <si>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</si>
  <si>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</si>
  <si>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</si>
  <si>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</si>
  <si>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</si>
  <si>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</si>
  <si>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</si>
  <si>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</si>
  <si>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</si>
  <si>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</si>
  <si>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</si>
  <si>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</si>
  <si>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</si>
  <si>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</si>
  <si>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</si>
  <si>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</si>
  <si>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</si>
  <si>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</si>
  <si>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</si>
  <si>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</si>
  <si>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</si>
  <si>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</si>
  <si>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</si>
  <si>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</si>
  <si>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</si>
  <si>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</si>
  <si>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</si>
  <si>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</si>
  <si>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</si>
  <si>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</si>
  <si>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</si>
  <si>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</si>
  <si>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</si>
  <si>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</si>
  <si>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</si>
  <si>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</si>
  <si>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</si>
  <si>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</si>
  <si>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</si>
  <si>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</si>
  <si>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</si>
  <si>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</si>
  <si>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</si>
  <si>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</si>
  <si>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</si>
  <si>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</si>
  <si>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</si>
  <si>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</si>
  <si>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</si>
  <si>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</si>
  <si>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</si>
  <si>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</si>
  <si>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</si>
  <si>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</si>
  <si>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</si>
  <si>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</si>
  <si>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</si>
  <si>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</si>
  <si>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</si>
  <si>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</si>
  <si>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</si>
  <si>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</si>
  <si>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</si>
  <si>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</si>
  <si>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</si>
  <si>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</si>
  <si>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</si>
  <si>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</si>
  <si>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</si>
  <si>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</si>
  <si>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</si>
  <si>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</si>
  <si>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</si>
  <si>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</si>
  <si>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</si>
  <si>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</si>
  <si>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</si>
  <si>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Habitats units required to meet target</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</si>
  <si>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</si>
  <si>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</si>
  <si>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</si>
  <si>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</si>
  <si>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</si>
  <si>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</si>
  <si>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</si>
  <si>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</si>
  <si>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</si>
  <si>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</si>
  <si>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</si>
  <si>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</si>
  <si>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</si>
  <si>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</si>
  <si>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</si>
  <si>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</si>
  <si>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</si>
  <si>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</si>
  <si>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</si>
  <si>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</si>
  <si>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</si>
  <si>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</si>
  <si>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</si>
  <si>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</si>
  <si>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</si>
  <si>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</si>
  <si>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</si>
  <si>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</si>
  <si>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</si>
  <si>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</si>
  <si>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</si>
  <si>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</si>
  <si>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</si>
  <si>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</si>
  <si>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</si>
  <si>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</si>
  <si>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</si>
  <si>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</si>
  <si>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</si>
  <si>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</si>
  <si>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</si>
  <si>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</si>
  <si>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</si>
  <si>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</si>
  <si>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</si>
  <si>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</si>
  <si>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</si>
  <si>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</si>
  <si>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</si>
  <si>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</si>
  <si>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</si>
  <si>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</si>
  <si>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</si>
  <si>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</si>
  <si>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</si>
  <si>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</si>
  <si>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</si>
  <si>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</si>
  <si>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</si>
  <si>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</si>
  <si>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</si>
  <si>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</si>
  <si>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</si>
  <si>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</si>
  <si>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</si>
  <si>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</si>
  <si>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</si>
  <si>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</si>
  <si>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</si>
  <si>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</si>
  <si>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</si>
  <si>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</si>
  <si>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</si>
  <si>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</si>
  <si>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</si>
  <si>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</si>
  <si>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</si>
  <si>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</si>
  <si>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</si>
  <si>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</si>
  <si>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</si>
  <si>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</si>
  <si>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</si>
  <si>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</si>
  <si>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</si>
  <si>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</si>
  <si>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</si>
  <si>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</si>
  <si>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</si>
  <si>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</si>
  <si>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</si>
  <si>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</si>
  <si>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</si>
  <si>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</si>
  <si>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</si>
  <si>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</si>
  <si>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</si>
  <si>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</si>
  <si>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</si>
  <si>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</si>
  <si>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</si>
  <si>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</si>
  <si>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</si>
  <si>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</si>
  <si>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</si>
  <si>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</si>
  <si>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</si>
  <si>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</si>
  <si>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</si>
  <si>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</si>
  <si>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</si>
  <si>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</si>
  <si>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</si>
  <si>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</si>
  <si>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</si>
  <si>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</si>
  <si>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</si>
  <si>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</si>
  <si>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</si>
  <si>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</si>
  <si>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</si>
  <si>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</si>
  <si>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</si>
  <si>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</si>
  <si>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</si>
  <si>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</si>
  <si>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</si>
  <si>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</si>
  <si>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</si>
  <si>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</si>
  <si>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</si>
  <si>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</si>
  <si>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</si>
  <si>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</si>
  <si>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</si>
  <si>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</si>
  <si>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</si>
  <si>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</si>
  <si>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</si>
  <si>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</si>
  <si>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</si>
  <si>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</si>
  <si>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</si>
  <si>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</si>
  <si>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</si>
  <si>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</si>
  <si>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</si>
  <si>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</si>
  <si>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</si>
  <si>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</si>
  <si>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</si>
  <si>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</si>
  <si>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</si>
  <si>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</si>
  <si>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</si>
  <si>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</si>
  <si>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</si>
  <si>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</si>
  <si>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</si>
  <si>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</si>
  <si>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</si>
  <si>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</si>
  <si>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</si>
  <si>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</si>
  <si>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</si>
  <si>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</si>
  <si>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</si>
  <si>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</si>
  <si>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</si>
  <si>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</si>
  <si>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</si>
  <si>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</si>
  <si>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</si>
  <si>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</si>
  <si>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</si>
  <si>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</si>
  <si>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</si>
  <si>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</si>
  <si>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</si>
  <si>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</si>
  <si>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</si>
  <si>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</si>
  <si>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</si>
  <si>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</si>
  <si>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</si>
  <si>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</si>
  <si>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</si>
  <si>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</si>
  <si>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</si>
  <si>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</si>
  <si>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</si>
  <si>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</si>
  <si>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</si>
  <si>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</si>
  <si>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</si>
  <si>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</si>
  <si>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</si>
  <si>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</si>
  <si>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</si>
  <si>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</si>
  <si>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</si>
  <si>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</si>
  <si>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</si>
  <si>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</si>
  <si>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</si>
  <si>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</si>
  <si>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</si>
  <si>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</si>
  <si>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</si>
  <si>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</si>
  <si>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</si>
  <si>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</si>
  <si>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</si>
  <si>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</si>
  <si>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</si>
  <si>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</si>
  <si>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</si>
  <si>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</si>
  <si>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</si>
  <si>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</si>
  <si>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</si>
  <si>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</si>
  <si>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</si>
  <si>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</si>
  <si>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</si>
  <si>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</si>
  <si>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</si>
  <si>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</si>
  <si>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</si>
  <si>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</si>
  <si>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</si>
  <si>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</si>
  <si>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</si>
  <si>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</si>
  <si>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</si>
  <si>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</si>
  <si>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</si>
  <si>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</si>
  <si>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</si>
  <si>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</si>
  <si>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</si>
  <si>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</si>
  <si>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</si>
  <si>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</si>
  <si>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</si>
  <si>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</si>
  <si>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</si>
  <si>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</si>
  <si>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</si>
  <si>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</si>
  <si>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</si>
  <si>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</si>
  <si>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</si>
  <si>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</si>
  <si>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</si>
  <si>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</si>
  <si>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</si>
  <si>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</si>
  <si>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</si>
  <si>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</si>
  <si>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</si>
  <si>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</si>
  <si>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</si>
  <si>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</si>
  <si>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</si>
  <si>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</si>
  <si>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</si>
  <si>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</si>
  <si>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</si>
  <si>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</si>
  <si>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</si>
  <si>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</si>
  <si>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</si>
  <si>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</si>
  <si>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</si>
  <si>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</si>
  <si>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</si>
  <si>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</si>
  <si>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</si>
  <si>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</si>
  <si>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</si>
  <si>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</si>
  <si>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</si>
  <si>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</si>
  <si>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</si>
  <si>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</si>
  <si>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</si>
  <si>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</si>
  <si>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</si>
  <si>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</si>
  <si>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</si>
  <si>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</si>
  <si>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</si>
  <si>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</si>
  <si>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</si>
  <si>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</si>
  <si>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</si>
  <si>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</si>
  <si>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</si>
  <si>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</si>
  <si>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</si>
  <si>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</si>
  <si>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</si>
  <si>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</si>
  <si>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</si>
  <si>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</si>
  <si>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</si>
  <si>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</si>
  <si>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</si>
  <si>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</si>
  <si>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</si>
  <si>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</si>
  <si>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</si>
  <si>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</si>
  <si>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</si>
  <si>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</si>
  <si>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</si>
  <si>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</si>
  <si>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</si>
  <si>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</si>
  <si>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</si>
  <si>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</si>
  <si>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</si>
  <si>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</si>
  <si>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</si>
  <si>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</si>
  <si>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</si>
  <si>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</si>
  <si>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</si>
  <si>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</si>
  <si>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</si>
  <si>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</si>
  <si>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</si>
  <si>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</si>
  <si>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</si>
  <si>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</si>
  <si>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</si>
  <si>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</si>
  <si>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</si>
  <si>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</si>
  <si>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</si>
  <si>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</si>
  <si>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</si>
  <si>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</si>
  <si>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</si>
  <si>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</si>
  <si>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</si>
  <si>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</si>
  <si>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</si>
  <si>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</si>
  <si>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</si>
  <si>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</si>
  <si>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</si>
  <si>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</si>
  <si>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</si>
  <si>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</si>
  <si>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</si>
  <si>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</si>
  <si>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</si>
  <si>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</si>
  <si>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</si>
  <si>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</si>
  <si>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</si>
  <si>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</si>
  <si>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</si>
  <si>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</si>
  <si>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</si>
  <si>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</si>
  <si>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</si>
  <si>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</si>
  <si>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</si>
  <si>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</si>
  <si>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</si>
  <si>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</si>
  <si>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</si>
  <si>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</si>
  <si>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</si>
  <si>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</si>
  <si>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</si>
  <si>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</si>
  <si>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</si>
  <si>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</si>
  <si>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</si>
  <si>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</si>
  <si>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</si>
  <si>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</si>
  <si>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</si>
  <si>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</si>
  <si>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</si>
  <si>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</si>
  <si>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</si>
  <si>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</si>
  <si>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</si>
  <si>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</si>
  <si>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</si>
  <si>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</si>
  <si>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</si>
  <si>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</si>
  <si>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</si>
  <si>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</si>
  <si>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</si>
  <si>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</si>
  <si>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</si>
  <si>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</si>
  <si>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</si>
  <si>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</si>
  <si>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</si>
  <si>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</si>
  <si>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</si>
  <si>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</si>
  <si>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</si>
  <si>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</si>
  <si>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</si>
  <si>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</si>
  <si>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</si>
  <si>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</si>
  <si>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</si>
  <si>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</si>
  <si>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</si>
  <si>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</si>
  <si>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</si>
  <si>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</si>
  <si>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</si>
  <si>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</si>
  <si>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</si>
  <si>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</si>
  <si>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</si>
  <si>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</si>
  <si>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</si>
  <si>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</si>
  <si>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</si>
  <si>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</si>
  <si>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</si>
  <si>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</si>
  <si>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</si>
  <si>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</si>
  <si>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</si>
  <si>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</si>
  <si>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</si>
  <si>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</si>
  <si>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</si>
  <si>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</si>
  <si>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</si>
  <si>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</si>
  <si>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</si>
  <si>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</si>
  <si>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</si>
  <si>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</si>
  <si>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</si>
  <si>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</si>
  <si>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</si>
  <si>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</si>
  <si>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</si>
  <si>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</si>
  <si>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</si>
  <si>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</si>
  <si>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</si>
  <si>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</si>
  <si>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</si>
  <si>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</si>
  <si>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</si>
  <si>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</si>
  <si>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</si>
  <si>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</si>
  <si>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</si>
  <si>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</si>
  <si>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</si>
  <si>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</si>
  <si>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</si>
  <si>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</si>
  <si>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</si>
  <si>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</si>
  <si>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</si>
  <si>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</si>
  <si>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</si>
  <si>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</si>
  <si>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</si>
  <si>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</si>
  <si>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</si>
  <si>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</si>
  <si>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</si>
  <si>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</si>
  <si>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</si>
  <si>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</si>
  <si>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</si>
  <si>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</si>
  <si>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</si>
  <si>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</si>
  <si>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</si>
  <si>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</si>
  <si>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</si>
  <si>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</si>
  <si>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</si>
  <si>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</si>
  <si>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</si>
  <si>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</si>
  <si>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</si>
  <si>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</si>
  <si>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</si>
  <si>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</si>
  <si>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</si>
  <si>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</si>
  <si>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</si>
  <si>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</si>
  <si>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</si>
  <si>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</si>
  <si>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</si>
  <si>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</si>
  <si>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</si>
  <si>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</si>
  <si>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</si>
  <si>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</si>
  <si>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</si>
  <si>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</si>
  <si>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</si>
  <si>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</si>
  <si>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</si>
  <si>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</si>
  <si>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</si>
  <si>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</si>
  <si>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</si>
  <si>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</si>
  <si>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</si>
  <si>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</si>
  <si>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</si>
  <si>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</si>
  <si>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</si>
  <si>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</si>
  <si>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</si>
  <si>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</si>
  <si>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</si>
  <si>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</si>
  <si>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</si>
  <si>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</si>
  <si>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</si>
  <si>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</si>
  <si>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</si>
  <si>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</si>
  <si>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</si>
  <si>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</si>
  <si>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</si>
  <si>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</si>
  <si>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</si>
  <si>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</si>
  <si>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</si>
  <si>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</si>
  <si>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</si>
  <si>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</si>
  <si>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</si>
  <si>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</si>
  <si>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</si>
  <si>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</si>
  <si>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</si>
  <si>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</si>
  <si>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</si>
  <si>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</si>
  <si>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</si>
  <si>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</si>
  <si>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</si>
  <si>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</si>
  <si>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</si>
  <si>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</si>
  <si>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</si>
  <si>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</si>
  <si>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</si>
  <si>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</si>
  <si>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</si>
  <si>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</si>
  <si>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</si>
  <si>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</si>
  <si>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</si>
  <si>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</si>
  <si>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</si>
  <si>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</si>
  <si>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</si>
  <si>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</si>
  <si>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</si>
  <si>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</si>
  <si>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</si>
  <si>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</si>
  <si>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</si>
  <si>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</si>
  <si>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</si>
  <si>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</si>
  <si>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</si>
  <si>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</si>
  <si>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</si>
  <si>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</si>
  <si>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</si>
  <si>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</si>
  <si>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</si>
  <si>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</si>
  <si>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</si>
  <si>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</si>
  <si>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</si>
  <si>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</si>
  <si>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</si>
  <si>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</si>
  <si>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</si>
  <si>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</si>
  <si>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</si>
  <si>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</si>
  <si>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</si>
  <si>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</si>
  <si>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</si>
  <si>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</si>
  <si>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</si>
  <si>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</si>
  <si>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</si>
  <si>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</si>
  <si>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</si>
  <si>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</si>
  <si>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</si>
  <si>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</si>
  <si>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</si>
  <si>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</si>
  <si>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</si>
  <si>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</si>
  <si>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</si>
  <si>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</si>
  <si>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</si>
  <si>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</si>
  <si>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</si>
  <si>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</si>
  <si>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</si>
  <si>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</si>
  <si>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</si>
  <si>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</si>
  <si>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</si>
  <si>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</si>
  <si>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</si>
  <si>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</si>
  <si>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</si>
  <si>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</si>
  <si>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</si>
  <si>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</si>
  <si>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</si>
  <si>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</si>
  <si>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</si>
  <si>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</si>
  <si>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</si>
  <si>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</si>
  <si>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</si>
  <si>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</si>
  <si>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</si>
  <si>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</si>
  <si>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</si>
  <si>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</si>
  <si>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</si>
  <si>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</si>
  <si>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</si>
  <si>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</si>
  <si>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</si>
  <si>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</si>
  <si>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</si>
  <si>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</si>
  <si>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</si>
  <si>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</si>
  <si>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</si>
  <si>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</si>
  <si>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</si>
  <si>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</si>
  <si>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</si>
  <si>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</si>
  <si>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</si>
  <si>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</si>
  <si>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</si>
  <si>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</si>
  <si>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</si>
  <si>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</si>
  <si>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</si>
  <si>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</si>
  <si>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</si>
  <si>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</si>
  <si>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</si>
  <si>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</si>
  <si>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</si>
  <si>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</si>
  <si>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</si>
  <si>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</si>
  <si>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</si>
  <si>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</si>
  <si>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</si>
  <si>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</si>
  <si>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</si>
  <si>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</si>
  <si>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</si>
  <si>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</si>
  <si>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</si>
  <si>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</si>
  <si>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</si>
  <si>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</si>
  <si>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</si>
  <si>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</si>
  <si>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</si>
  <si>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</si>
  <si>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</si>
  <si>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</si>
  <si>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</si>
  <si>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</si>
  <si>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</si>
  <si>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</si>
  <si>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</si>
  <si>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</si>
  <si>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</si>
  <si>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</si>
  <si>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</si>
  <si>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</si>
  <si>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</si>
  <si>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</si>
  <si>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</si>
  <si>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</si>
  <si>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</si>
  <si>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</si>
  <si>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</si>
  <si>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</si>
  <si>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</si>
  <si>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</si>
  <si>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</si>
  <si>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</si>
  <si>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</si>
  <si>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</si>
  <si>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</si>
  <si>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</si>
  <si>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</si>
  <si>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</si>
  <si>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</si>
  <si>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</si>
  <si>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</si>
  <si>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</si>
  <si>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</si>
  <si>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</si>
  <si>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</si>
  <si>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</si>
  <si>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</si>
  <si>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</si>
  <si>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</si>
  <si>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</si>
  <si>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</si>
  <si>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</si>
  <si>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</si>
  <si>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</si>
  <si>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</si>
  <si>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</si>
  <si>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</si>
  <si>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</si>
  <si>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</si>
  <si>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</si>
  <si>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</si>
  <si>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</si>
  <si>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</si>
  <si>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</si>
  <si>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</si>
  <si>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</si>
  <si>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</si>
  <si>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</si>
  <si>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</si>
  <si>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</si>
  <si>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</si>
  <si>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</si>
  <si>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</si>
  <si>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</si>
  <si>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</si>
  <si>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</si>
  <si>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July 2024</t>
  </si>
  <si>
    <t>23rd July 2024</t>
  </si>
  <si>
    <t>Version 1.2.2</t>
  </si>
  <si>
    <t>Fix made to error specific to Version 1.2.1 relating to area checker on Area Habitats tab.</t>
  </si>
  <si>
    <t>Version 1.2.2 Release Date:</t>
  </si>
  <si>
    <t>24th July 2024</t>
  </si>
  <si>
    <t>Residential</t>
  </si>
  <si>
    <t>Between 1 - 9 dwellings</t>
  </si>
  <si>
    <t>No</t>
  </si>
  <si>
    <t>Walkover completed by qualified ecologist</t>
  </si>
  <si>
    <t>Destroy</t>
  </si>
  <si>
    <t>Horsham</t>
  </si>
  <si>
    <t>Jolesfield Cottages</t>
  </si>
  <si>
    <t>Full Planning Consent</t>
  </si>
  <si>
    <t>Sylvatica Ecologica Ltd</t>
  </si>
  <si>
    <t>2510LA_r3_000</t>
  </si>
  <si>
    <t>Richard Law BSc (Hons) MRes CEnv MCIEEM FLS</t>
  </si>
  <si>
    <t>Ben Kirk</t>
  </si>
  <si>
    <t>TBC</t>
  </si>
  <si>
    <t>magic.gov.uk</t>
  </si>
  <si>
    <t>Friday, 24th October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</si>
</sst>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3">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0" borderId="14" xfId="0" applyBorder="1" applyAlignment="1">
      <alignment horizontal="center" vertical="center" wrapText="1"/>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Results'!$C$36:$C$38</c:f>
              <c:numCache>
                <c:formatCode>0.00</c:formatCode>
                <c:ptCount val="3"/>
                <c:pt idx="0">
                  <c:v>4.6552661759999996</c:v>
                </c:pt>
                <c:pt idx="1">
                  <c:v>0.78</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Habitat units</c:v>
                </c:pt>
                <c:pt idx="1">
                  <c:v>Hedgerow units</c:v>
                </c:pt>
                <c:pt idx="2">
                  <c:v>Watercourse units</c:v>
                </c:pt>
              </c:strCache>
            </c:strRef>
          </c:cat>
          <c:val>
            <c:numRef>
              <c:f>'8. Headline Results'!$D$36:$D$38</c:f>
              <c:numCache>
                <c:formatCode>0.00</c:formatCode>
                <c:ptCount val="3"/>
                <c:pt idx="0">
                  <c:v>5.1228844940410019</c:v>
                </c:pt>
                <c:pt idx="1">
                  <c:v>0.85825444328400002</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501650</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900" y="0"/>
          <a:ext cx="5737225" cy="5419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2838450</xdr:colOff>
      <xdr:row>8</xdr:row>
      <xdr:rowOff>3736192</xdr:rowOff>
    </xdr:to>
    <xdr:pic>
      <xdr:nvPicPr>
        <xdr:cNvPr id="2" name="Picture 1" descr="A field of grass with trees in the background&#10;&#10;AI-generated content may be incorrect.">
          <a:extLst>
            <a:ext uri="{FF2B5EF4-FFF2-40B4-BE49-F238E27FC236}">
              <a16:creationId xmlns:a16="http://schemas.microsoft.com/office/drawing/2014/main" id="{951F0869-7CD8-4A25-3C42-92BB7BC1B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2533650"/>
          <a:ext cx="2838450" cy="3736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10</xdr:row>
      <xdr:rowOff>22224</xdr:rowOff>
    </xdr:from>
    <xdr:to>
      <xdr:col>3</xdr:col>
      <xdr:colOff>2889250</xdr:colOff>
      <xdr:row>10</xdr:row>
      <xdr:rowOff>3810119</xdr:rowOff>
    </xdr:to>
    <xdr:pic>
      <xdr:nvPicPr>
        <xdr:cNvPr id="3" name="Picture 1" descr="A grassy field with trees in the background&#10;&#10;AI-generated content may be incorrect.">
          <a:extLst>
            <a:ext uri="{FF2B5EF4-FFF2-40B4-BE49-F238E27FC236}">
              <a16:creationId xmlns:a16="http://schemas.microsoft.com/office/drawing/2014/main" id="{578C1AE5-BECC-9B84-EB1F-6B8AC7B3C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0824" y="6784974"/>
          <a:ext cx="2813051" cy="3787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14</xdr:row>
      <xdr:rowOff>6349</xdr:rowOff>
    </xdr:from>
    <xdr:to>
      <xdr:col>3</xdr:col>
      <xdr:colOff>2984500</xdr:colOff>
      <xdr:row>15</xdr:row>
      <xdr:rowOff>9070</xdr:rowOff>
    </xdr:to>
    <xdr:pic>
      <xdr:nvPicPr>
        <xdr:cNvPr id="4" name="Picture 1" descr="A stream with trees and bushes&#10;&#10;AI-generated content may be incorrect.">
          <a:extLst>
            <a:ext uri="{FF2B5EF4-FFF2-40B4-BE49-F238E27FC236}">
              <a16:creationId xmlns:a16="http://schemas.microsoft.com/office/drawing/2014/main" id="{D802FB87-6375-CC3C-3FE5-1C6D192AF9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84625" y="15278099"/>
          <a:ext cx="2984500" cy="384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60324</xdr:colOff>
      <xdr:row>12</xdr:row>
      <xdr:rowOff>53974</xdr:rowOff>
    </xdr:from>
    <xdr:to>
      <xdr:col>3</xdr:col>
      <xdr:colOff>2968625</xdr:colOff>
      <xdr:row>13</xdr:row>
      <xdr:rowOff>12387</xdr:rowOff>
    </xdr:to>
    <xdr:pic>
      <xdr:nvPicPr>
        <xdr:cNvPr id="5" name="Picture 1" descr="A group of trees in a field&#10;&#10;AI-generated content may be incorrect.">
          <a:extLst>
            <a:ext uri="{FF2B5EF4-FFF2-40B4-BE49-F238E27FC236}">
              <a16:creationId xmlns:a16="http://schemas.microsoft.com/office/drawing/2014/main" id="{98FB12D8-3437-A5AD-7840-F719AE1859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44949" y="11071224"/>
          <a:ext cx="2908301" cy="3800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88899</xdr:colOff>
      <xdr:row>8</xdr:row>
      <xdr:rowOff>22224</xdr:rowOff>
    </xdr:from>
    <xdr:to>
      <xdr:col>4</xdr:col>
      <xdr:colOff>2809875</xdr:colOff>
      <xdr:row>8</xdr:row>
      <xdr:rowOff>3825875</xdr:rowOff>
    </xdr:to>
    <xdr:pic>
      <xdr:nvPicPr>
        <xdr:cNvPr id="6" name="Picture 1" descr="A field with a tree and a house&#10;&#10;AI-generated content may be incorrect.">
          <a:extLst>
            <a:ext uri="{FF2B5EF4-FFF2-40B4-BE49-F238E27FC236}">
              <a16:creationId xmlns:a16="http://schemas.microsoft.com/office/drawing/2014/main" id="{211D96EA-C552-1A7A-B8F0-97F9D0CE4E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15649" y="2530474"/>
          <a:ext cx="2720976" cy="3803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11</xdr:row>
      <xdr:rowOff>419099</xdr:rowOff>
    </xdr:from>
    <xdr:to>
      <xdr:col>4</xdr:col>
      <xdr:colOff>2860064</xdr:colOff>
      <xdr:row>13</xdr:row>
      <xdr:rowOff>19049</xdr:rowOff>
    </xdr:to>
    <xdr:pic>
      <xdr:nvPicPr>
        <xdr:cNvPr id="7" name="Picture 1" descr="A field with grass and trees&#10;&#10;AI-generated content may be incorrect.">
          <a:extLst>
            <a:ext uri="{FF2B5EF4-FFF2-40B4-BE49-F238E27FC236}">
              <a16:creationId xmlns:a16="http://schemas.microsoft.com/office/drawing/2014/main" id="{9221DE29-2BD1-6344-9B0B-DFB8F1A188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34550" y="11087099"/>
          <a:ext cx="2860064"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4 Temporal multiplier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topLeftCell="A16" zoomScale="80" zoomScaleNormal="80" workbookViewId="0"/>
  </sheetViews>
  <sheetFormatPr defaultColWidth="0" defaultRowHeight="15" zeroHeight="1"/>
  <cols>
    <col min="1" max="1" width="3.42578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c r="A1" s="25"/>
      <c r="B1" s="25"/>
      <c r="C1" s="25"/>
      <c r="D1" s="570"/>
      <c r="E1" s="570"/>
      <c r="F1" s="570"/>
      <c r="G1" s="570"/>
      <c r="H1" s="570"/>
      <c r="I1" s="570"/>
      <c r="J1" s="570"/>
      <c r="K1" s="25"/>
      <c r="L1" s="25"/>
      <c r="M1" s="25"/>
      <c r="N1" s="25"/>
      <c r="O1" s="25"/>
      <c r="P1" s="25"/>
      <c r="Q1" s="25"/>
      <c r="R1" s="25"/>
      <c r="S1" s="25"/>
      <c r="T1" s="25"/>
      <c r="U1" s="25"/>
      <c r="V1" s="25"/>
      <c r="W1" s="25"/>
      <c r="X1" s="25"/>
      <c r="Y1" s="25"/>
      <c r="Z1" s="25"/>
      <c r="AA1" s="25"/>
      <c r="AB1" s="25"/>
      <c r="AC1" s="25"/>
      <c r="AD1" s="25"/>
    </row>
    <row r="2" spans="1:30">
      <c r="A2" s="25"/>
      <c r="B2" s="25"/>
      <c r="C2" s="25"/>
      <c r="D2" s="570"/>
      <c r="E2" s="570"/>
      <c r="F2" s="570"/>
      <c r="G2" s="570"/>
      <c r="H2" s="570"/>
      <c r="I2" s="570"/>
      <c r="J2" s="570"/>
      <c r="K2" s="25"/>
      <c r="L2" s="25"/>
      <c r="M2" s="25"/>
      <c r="N2" s="25"/>
      <c r="O2" s="25"/>
      <c r="P2" s="25"/>
      <c r="Q2" s="25"/>
      <c r="R2" s="25"/>
      <c r="S2" s="25"/>
      <c r="T2" s="25"/>
      <c r="U2" s="25"/>
      <c r="V2" s="25"/>
      <c r="W2" s="25"/>
      <c r="X2" s="25"/>
      <c r="Y2" s="25"/>
      <c r="Z2" s="25"/>
      <c r="AA2" s="25"/>
      <c r="AB2" s="25"/>
      <c r="AC2" s="25"/>
      <c r="AD2" s="25"/>
    </row>
    <row r="3" spans="1:30">
      <c r="A3" s="25"/>
      <c r="B3" s="25"/>
      <c r="C3" s="25"/>
      <c r="D3" s="570"/>
      <c r="E3" s="570"/>
      <c r="F3" s="570"/>
      <c r="G3" s="570"/>
      <c r="H3" s="570"/>
      <c r="I3" s="570"/>
      <c r="J3" s="570"/>
      <c r="K3" s="25"/>
      <c r="L3" s="25"/>
      <c r="M3" s="25"/>
      <c r="N3" s="25"/>
      <c r="O3" s="25"/>
      <c r="P3" s="25"/>
      <c r="Q3" s="25"/>
      <c r="R3" s="25"/>
      <c r="S3" s="25"/>
      <c r="T3" s="25"/>
      <c r="U3" s="25"/>
      <c r="V3" s="25"/>
      <c r="W3" s="25"/>
      <c r="X3" s="25"/>
      <c r="Y3" s="25"/>
      <c r="Z3" s="25"/>
      <c r="AA3" s="25"/>
      <c r="AB3" s="25"/>
      <c r="AC3" s="25"/>
      <c r="AD3" s="25"/>
    </row>
    <row r="4" spans="1:30">
      <c r="A4" s="25"/>
      <c r="B4" s="25"/>
      <c r="C4" s="25"/>
      <c r="D4" s="570"/>
      <c r="E4" s="570"/>
      <c r="F4" s="570"/>
      <c r="G4" s="570"/>
      <c r="H4" s="570"/>
      <c r="I4" s="570"/>
      <c r="J4" s="570"/>
      <c r="K4" s="25"/>
      <c r="L4" s="25"/>
      <c r="M4" s="25"/>
      <c r="N4" s="25"/>
      <c r="O4" s="25"/>
      <c r="P4" s="25"/>
      <c r="Q4" s="25"/>
      <c r="R4" s="25"/>
      <c r="S4" s="25"/>
      <c r="T4" s="25"/>
      <c r="U4" s="25"/>
      <c r="V4" s="25"/>
      <c r="W4" s="25"/>
      <c r="X4" s="25"/>
      <c r="Y4" s="25"/>
      <c r="Z4" s="25"/>
      <c r="AA4" s="25"/>
      <c r="AB4" s="25"/>
      <c r="AC4" s="25"/>
      <c r="AD4" s="25"/>
    </row>
    <row r="5" spans="1:30">
      <c r="A5" s="25"/>
      <c r="B5" s="25"/>
      <c r="C5" s="25"/>
      <c r="D5" s="570"/>
      <c r="E5" s="570"/>
      <c r="F5" s="570"/>
      <c r="G5" s="570"/>
      <c r="H5" s="570"/>
      <c r="I5" s="570"/>
      <c r="J5" s="570"/>
      <c r="K5" s="25"/>
      <c r="L5" s="25"/>
      <c r="M5" s="25"/>
      <c r="N5" s="25"/>
      <c r="O5" s="25"/>
      <c r="P5" s="25"/>
      <c r="Q5" s="25"/>
      <c r="R5" s="25"/>
      <c r="S5" s="25"/>
      <c r="T5" s="25"/>
      <c r="U5" s="25"/>
      <c r="V5" s="25"/>
      <c r="W5" s="25"/>
      <c r="X5" s="25"/>
      <c r="Y5" s="25"/>
      <c r="Z5" s="25"/>
      <c r="AA5" s="25"/>
      <c r="AB5" s="25"/>
      <c r="AC5" s="25"/>
      <c r="AD5" s="25"/>
    </row>
    <row r="6" spans="1:30">
      <c r="A6" s="157" t="s">
        <v>0</v>
      </c>
      <c r="B6" s="572" t="s">
        <v>1031</v>
      </c>
      <c r="C6" s="573"/>
      <c r="D6" s="573"/>
      <c r="E6" s="573"/>
      <c r="F6" s="573"/>
      <c r="G6" s="573"/>
      <c r="H6" s="573"/>
      <c r="I6" s="573"/>
      <c r="J6" s="573"/>
      <c r="K6" s="25"/>
      <c r="L6" s="25"/>
      <c r="M6" s="25"/>
      <c r="N6" s="25"/>
      <c r="O6" s="25"/>
      <c r="P6" s="25"/>
      <c r="Q6" s="25"/>
      <c r="R6" s="25"/>
      <c r="S6" s="25"/>
      <c r="T6" s="25"/>
      <c r="U6" s="25"/>
      <c r="V6" s="25"/>
      <c r="W6" s="25"/>
      <c r="X6" s="25"/>
      <c r="Y6" s="25"/>
      <c r="Z6" s="25"/>
      <c r="AA6" s="25"/>
      <c r="AB6" s="25"/>
      <c r="AC6" s="25"/>
      <c r="AD6" s="25"/>
    </row>
    <row r="7" spans="1:30">
      <c r="A7" s="25"/>
      <c r="B7" s="573"/>
      <c r="C7" s="573"/>
      <c r="D7" s="573"/>
      <c r="E7" s="573"/>
      <c r="F7" s="573"/>
      <c r="G7" s="573"/>
      <c r="H7" s="573"/>
      <c r="I7" s="573"/>
      <c r="J7" s="573"/>
      <c r="K7" s="25"/>
      <c r="L7" s="25"/>
      <c r="M7" s="25"/>
      <c r="N7" s="25"/>
      <c r="O7" s="25"/>
      <c r="P7" s="25"/>
      <c r="Q7" s="25"/>
      <c r="R7" s="25"/>
      <c r="S7" s="25"/>
      <c r="T7" s="25"/>
      <c r="U7" s="25"/>
      <c r="V7" s="25"/>
      <c r="W7" s="25"/>
      <c r="X7" s="25"/>
      <c r="Y7" s="25"/>
      <c r="Z7" s="25"/>
      <c r="AA7" s="25"/>
      <c r="AB7" s="25"/>
      <c r="AC7" s="25"/>
      <c r="AD7" s="25"/>
    </row>
    <row r="8" spans="1:30" ht="28.5" customHeight="1">
      <c r="A8" s="25"/>
      <c r="B8" s="573"/>
      <c r="C8" s="573"/>
      <c r="D8" s="573"/>
      <c r="E8" s="573"/>
      <c r="F8" s="573"/>
      <c r="G8" s="573"/>
      <c r="H8" s="573"/>
      <c r="I8" s="573"/>
      <c r="J8" s="573"/>
      <c r="K8" s="25"/>
      <c r="L8" s="25"/>
      <c r="M8" s="25"/>
      <c r="N8" s="25"/>
      <c r="O8" s="25"/>
      <c r="P8" s="25"/>
      <c r="Q8" s="25"/>
      <c r="R8" s="25"/>
      <c r="S8" s="25"/>
      <c r="T8" s="25"/>
      <c r="U8" s="25"/>
      <c r="V8" s="25"/>
      <c r="W8" s="25"/>
      <c r="X8" s="25"/>
      <c r="Y8" s="25"/>
      <c r="Z8" s="25"/>
      <c r="AA8" s="25"/>
      <c r="AB8" s="25"/>
      <c r="AC8" s="25"/>
      <c r="AD8" s="25"/>
    </row>
    <row r="9" spans="1:30" ht="14.45" customHeight="1">
      <c r="A9" s="25"/>
      <c r="B9" s="574"/>
      <c r="C9" s="574"/>
      <c r="D9" s="574"/>
      <c r="E9" s="574"/>
      <c r="F9" s="574"/>
      <c r="G9" s="574"/>
      <c r="H9" s="574"/>
      <c r="I9" s="574"/>
      <c r="J9" s="574"/>
      <c r="K9" s="25"/>
      <c r="L9" s="25"/>
      <c r="M9" s="25"/>
      <c r="N9" s="25"/>
      <c r="O9" s="25"/>
      <c r="P9" s="25"/>
      <c r="Q9" s="25"/>
      <c r="R9" s="25"/>
      <c r="S9" s="25"/>
      <c r="T9" s="25"/>
      <c r="U9" s="25"/>
      <c r="V9" s="25"/>
      <c r="W9" s="25"/>
      <c r="X9" s="25"/>
      <c r="Y9" s="25"/>
      <c r="Z9" s="25"/>
      <c r="AA9" s="25"/>
      <c r="AB9" s="25"/>
      <c r="AC9" s="25"/>
      <c r="AD9" s="25"/>
    </row>
    <row r="10" spans="1:30" ht="20.45" customHeight="1">
      <c r="A10" s="25"/>
      <c r="B10" s="574"/>
      <c r="C10" s="574"/>
      <c r="D10" s="574"/>
      <c r="E10" s="574"/>
      <c r="F10" s="574"/>
      <c r="G10" s="574"/>
      <c r="H10" s="574"/>
      <c r="I10" s="574"/>
      <c r="J10" s="574"/>
      <c r="K10" s="25"/>
      <c r="L10" s="25"/>
      <c r="M10" s="25"/>
      <c r="N10" s="25"/>
      <c r="O10" s="25"/>
      <c r="P10" s="25"/>
      <c r="Q10" s="25"/>
      <c r="R10" s="25"/>
      <c r="S10" s="25"/>
      <c r="T10" s="25"/>
      <c r="U10" s="25"/>
      <c r="V10" s="25"/>
      <c r="W10" s="25"/>
      <c r="X10" s="25"/>
      <c r="Y10" s="25"/>
      <c r="Z10" s="25"/>
      <c r="AA10" s="25"/>
      <c r="AB10" s="25"/>
      <c r="AC10" s="25"/>
      <c r="AD10" s="25"/>
    </row>
    <row r="11" spans="1:30">
      <c r="A11" s="25"/>
      <c r="B11" s="575" t="s">
        <v>1046</v>
      </c>
      <c r="C11" s="575"/>
      <c r="D11" s="575"/>
      <c r="E11" s="575"/>
      <c r="F11" s="567" t="s">
        <v>1042</v>
      </c>
      <c r="G11" s="567"/>
      <c r="H11" s="567"/>
      <c r="I11" s="567"/>
      <c r="J11" s="567"/>
      <c r="K11" s="25"/>
      <c r="L11" s="25"/>
      <c r="M11" s="25"/>
      <c r="N11" s="25"/>
      <c r="O11" s="25"/>
      <c r="P11" s="25"/>
      <c r="Q11" s="25"/>
      <c r="R11" s="25"/>
      <c r="S11" s="25"/>
      <c r="T11" s="25"/>
      <c r="U11" s="25"/>
      <c r="V11" s="25"/>
      <c r="W11" s="25"/>
      <c r="X11" s="25"/>
      <c r="Y11" s="25"/>
      <c r="Z11" s="25"/>
      <c r="AA11" s="25"/>
      <c r="AB11" s="25"/>
      <c r="AC11" s="25"/>
      <c r="AD11" s="25"/>
    </row>
    <row r="12" spans="1:30">
      <c r="A12" s="25"/>
      <c r="B12" s="568"/>
      <c r="C12" s="568"/>
      <c r="D12" s="568"/>
      <c r="E12" s="568"/>
      <c r="F12" s="568"/>
      <c r="G12" s="568"/>
      <c r="H12" s="568"/>
      <c r="I12" s="568"/>
      <c r="J12" s="568"/>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45" customHeight="1">
      <c r="A14" s="25"/>
      <c r="B14" s="569"/>
      <c r="C14" s="576"/>
      <c r="D14" s="576"/>
      <c r="E14" s="576"/>
      <c r="F14" s="576"/>
      <c r="G14" s="576"/>
      <c r="H14" s="576"/>
      <c r="I14" s="576"/>
      <c r="J14" s="576"/>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69"/>
      <c r="C15" s="576"/>
      <c r="D15" s="576"/>
      <c r="E15" s="576"/>
      <c r="F15" s="576"/>
      <c r="G15" s="576"/>
      <c r="H15" s="576"/>
      <c r="I15" s="576"/>
      <c r="J15" s="576"/>
      <c r="K15" s="25"/>
      <c r="L15" s="25"/>
      <c r="M15" s="25"/>
      <c r="N15" s="25"/>
      <c r="O15" s="25"/>
      <c r="P15" s="25"/>
      <c r="Q15" s="25"/>
      <c r="R15" s="25"/>
      <c r="S15" s="25"/>
      <c r="T15" s="25"/>
      <c r="U15" s="25"/>
      <c r="V15" s="25"/>
      <c r="W15" s="25"/>
      <c r="X15" s="25"/>
      <c r="Y15" s="25"/>
      <c r="Z15" s="25"/>
      <c r="AA15" s="25"/>
      <c r="AB15" s="25"/>
      <c r="AC15" s="25"/>
      <c r="AD15" s="25"/>
    </row>
    <row r="16" spans="1:30" ht="21.75"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71" t="s">
        <v>1</v>
      </c>
      <c r="C17" s="571"/>
      <c r="D17" s="571"/>
      <c r="E17" s="571"/>
      <c r="F17" s="571"/>
      <c r="G17" s="571"/>
      <c r="H17" s="571"/>
      <c r="I17" s="25"/>
      <c r="J17" s="25"/>
      <c r="K17" s="25"/>
      <c r="L17" s="25"/>
      <c r="M17" s="25"/>
      <c r="N17" s="25"/>
      <c r="O17" s="25"/>
      <c r="P17" s="25"/>
      <c r="Q17" s="25"/>
      <c r="R17" s="25"/>
      <c r="S17" s="25"/>
      <c r="T17" s="25"/>
      <c r="U17" s="25"/>
      <c r="V17" s="25"/>
      <c r="W17" s="25"/>
      <c r="X17" s="25"/>
      <c r="Y17" s="25"/>
      <c r="Z17" s="25"/>
      <c r="AA17" s="25"/>
      <c r="AB17" s="25"/>
      <c r="AC17" s="25"/>
      <c r="AD17" s="25"/>
    </row>
    <row r="18" spans="1:30" ht="15.7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45" customHeight="1">
      <c r="A19" s="25"/>
      <c r="B19" s="577"/>
      <c r="C19" s="578"/>
      <c r="D19" s="581" t="s">
        <v>2</v>
      </c>
      <c r="E19" s="582"/>
      <c r="F19" s="582"/>
      <c r="G19" s="582"/>
      <c r="H19" s="583"/>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79"/>
      <c r="C20" s="580"/>
      <c r="D20" s="584"/>
      <c r="E20" s="585"/>
      <c r="F20" s="585"/>
      <c r="G20" s="585"/>
      <c r="H20" s="586"/>
      <c r="I20" s="25"/>
      <c r="J20" s="25"/>
      <c r="K20" s="25"/>
      <c r="L20" s="25"/>
      <c r="M20" s="25"/>
      <c r="N20" s="25"/>
      <c r="O20" s="25"/>
      <c r="P20" s="25"/>
      <c r="Q20" s="25"/>
      <c r="R20" s="25"/>
      <c r="S20" s="25"/>
      <c r="T20" s="25"/>
      <c r="U20" s="25"/>
      <c r="V20" s="25"/>
      <c r="W20" s="25"/>
      <c r="X20" s="25"/>
      <c r="Y20" s="25"/>
      <c r="Z20" s="25"/>
      <c r="AA20" s="25"/>
      <c r="AB20" s="25"/>
      <c r="AC20" s="25"/>
      <c r="AD20" s="25"/>
    </row>
    <row r="21" spans="1:30" ht="14.45" customHeight="1">
      <c r="A21" s="25"/>
      <c r="B21" s="601"/>
      <c r="C21" s="602"/>
      <c r="D21" s="605" t="s">
        <v>3</v>
      </c>
      <c r="E21" s="606"/>
      <c r="F21" s="606"/>
      <c r="G21" s="606"/>
      <c r="H21" s="607"/>
      <c r="I21" s="25"/>
      <c r="J21" s="25"/>
      <c r="K21" s="25"/>
      <c r="L21" s="25"/>
      <c r="M21" s="25"/>
      <c r="N21" s="25"/>
      <c r="O21" s="25"/>
      <c r="P21" s="25"/>
      <c r="Q21" s="25"/>
      <c r="R21" s="25"/>
      <c r="S21" s="25"/>
      <c r="T21" s="25"/>
      <c r="U21" s="25"/>
      <c r="V21" s="25"/>
      <c r="W21" s="25"/>
      <c r="X21" s="25"/>
      <c r="Y21" s="25"/>
      <c r="Z21" s="25"/>
      <c r="AA21" s="25"/>
      <c r="AB21" s="25"/>
      <c r="AC21" s="25"/>
      <c r="AD21" s="25"/>
    </row>
    <row r="22" spans="1:30" ht="14.45" customHeight="1">
      <c r="A22" s="25"/>
      <c r="B22" s="603"/>
      <c r="C22" s="604"/>
      <c r="D22" s="584"/>
      <c r="E22" s="585"/>
      <c r="F22" s="585"/>
      <c r="G22" s="585"/>
      <c r="H22" s="586"/>
      <c r="I22" s="25"/>
      <c r="J22" s="25"/>
      <c r="K22" s="25"/>
      <c r="L22" s="25"/>
      <c r="M22" s="25"/>
      <c r="N22" s="25"/>
      <c r="O22" s="25"/>
      <c r="P22" s="25"/>
      <c r="Q22" s="25"/>
      <c r="R22" s="25"/>
      <c r="S22" s="25"/>
      <c r="T22" s="25"/>
      <c r="U22" s="25"/>
      <c r="V22" s="25"/>
      <c r="W22" s="25"/>
      <c r="X22" s="25"/>
      <c r="Y22" s="25"/>
      <c r="Z22" s="25"/>
      <c r="AA22" s="25"/>
      <c r="AB22" s="25"/>
      <c r="AC22" s="25"/>
      <c r="AD22" s="25"/>
    </row>
    <row r="23" spans="1:30" ht="14.45" customHeight="1">
      <c r="A23" s="25"/>
      <c r="B23" s="591"/>
      <c r="C23" s="592"/>
      <c r="D23" s="595" t="s">
        <v>4</v>
      </c>
      <c r="E23" s="596"/>
      <c r="F23" s="596"/>
      <c r="G23" s="596"/>
      <c r="H23" s="597"/>
      <c r="I23" s="25"/>
      <c r="J23" s="25"/>
      <c r="K23" s="25"/>
      <c r="L23" s="25"/>
      <c r="M23" s="25"/>
      <c r="N23" s="25"/>
      <c r="O23" s="25"/>
      <c r="P23" s="25"/>
      <c r="Q23" s="25"/>
      <c r="R23" s="25"/>
      <c r="S23" s="25"/>
      <c r="T23" s="25"/>
      <c r="U23" s="25"/>
      <c r="V23" s="25"/>
      <c r="W23" s="25"/>
      <c r="X23" s="25"/>
      <c r="Y23" s="25"/>
      <c r="Z23" s="25"/>
      <c r="AA23" s="25"/>
      <c r="AB23" s="25"/>
      <c r="AC23" s="25"/>
      <c r="AD23" s="25"/>
    </row>
    <row r="24" spans="1:30" ht="14.45" customHeight="1">
      <c r="A24" s="25"/>
      <c r="B24" s="593"/>
      <c r="C24" s="594"/>
      <c r="D24" s="598"/>
      <c r="E24" s="599"/>
      <c r="F24" s="599"/>
      <c r="G24" s="599"/>
      <c r="H24" s="600"/>
      <c r="I24" s="25"/>
      <c r="J24" s="25"/>
      <c r="K24" s="25"/>
      <c r="L24" s="25"/>
      <c r="M24" s="25"/>
      <c r="N24" s="25"/>
      <c r="O24" s="25"/>
      <c r="P24" s="25"/>
      <c r="Q24" s="25"/>
      <c r="R24" s="25"/>
      <c r="S24" s="25"/>
      <c r="T24" s="25"/>
      <c r="U24" s="25"/>
      <c r="V24" s="25"/>
      <c r="W24" s="25"/>
      <c r="X24" s="25"/>
      <c r="Y24" s="25"/>
      <c r="Z24" s="25"/>
      <c r="AA24" s="25"/>
      <c r="AB24" s="25"/>
      <c r="AC24" s="25"/>
      <c r="AD24" s="25"/>
    </row>
    <row r="25" spans="1:30" ht="27.95" customHeight="1">
      <c r="A25" s="25"/>
      <c r="B25" s="387"/>
      <c r="C25" s="388"/>
      <c r="D25" s="614" t="s">
        <v>5</v>
      </c>
      <c r="E25" s="615"/>
      <c r="F25" s="615"/>
      <c r="G25" s="615"/>
      <c r="H25" s="616"/>
      <c r="I25" s="25"/>
      <c r="J25" s="25"/>
      <c r="K25" s="25"/>
      <c r="L25" s="25"/>
      <c r="M25" s="25"/>
      <c r="N25" s="25"/>
      <c r="O25" s="25"/>
      <c r="P25" s="25"/>
      <c r="Q25" s="25"/>
      <c r="R25" s="25"/>
      <c r="S25" s="25"/>
      <c r="T25" s="25"/>
      <c r="U25" s="25"/>
      <c r="V25" s="25"/>
      <c r="W25" s="25"/>
      <c r="X25" s="25"/>
      <c r="Y25" s="25"/>
      <c r="Z25" s="25"/>
      <c r="AA25" s="25"/>
      <c r="AB25" s="25"/>
      <c r="AC25" s="25"/>
      <c r="AD25" s="25"/>
    </row>
    <row r="26" spans="1:30" ht="32.25" customHeight="1">
      <c r="A26" s="25"/>
      <c r="B26" s="389"/>
      <c r="C26" s="390"/>
      <c r="D26" s="614" t="s">
        <v>6</v>
      </c>
      <c r="E26" s="615"/>
      <c r="F26" s="615"/>
      <c r="G26" s="615"/>
      <c r="H26" s="616"/>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12" t="s">
        <v>7</v>
      </c>
      <c r="C27" s="613"/>
      <c r="D27" s="614" t="s">
        <v>8</v>
      </c>
      <c r="E27" s="615"/>
      <c r="F27" s="615"/>
      <c r="G27" s="615"/>
      <c r="H27" s="616"/>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87" t="s">
        <v>9</v>
      </c>
      <c r="C28" s="588"/>
      <c r="D28" s="589" t="s">
        <v>10</v>
      </c>
      <c r="E28" s="589"/>
      <c r="F28" s="589"/>
      <c r="G28" s="589"/>
      <c r="H28" s="590"/>
      <c r="I28" s="25"/>
      <c r="J28" s="566" t="s">
        <v>11</v>
      </c>
      <c r="K28" s="566"/>
      <c r="L28" s="566"/>
      <c r="M28" s="566"/>
      <c r="N28" s="566"/>
      <c r="O28" s="566"/>
      <c r="P28" s="566"/>
      <c r="Q28" s="566"/>
      <c r="R28" s="566"/>
      <c r="S28" s="25"/>
      <c r="T28" s="25"/>
      <c r="U28" s="25"/>
      <c r="V28" s="25"/>
      <c r="W28" s="25"/>
      <c r="X28" s="25"/>
      <c r="Y28" s="25"/>
      <c r="Z28" s="25"/>
      <c r="AA28" s="25"/>
      <c r="AB28" s="25"/>
      <c r="AC28" s="25"/>
      <c r="AD28" s="25"/>
    </row>
    <row r="29" spans="1:30" ht="24" customHeight="1" thickBot="1">
      <c r="A29" s="25"/>
      <c r="B29" s="608"/>
      <c r="C29" s="609"/>
      <c r="D29" s="610" t="s">
        <v>12</v>
      </c>
      <c r="E29" s="610"/>
      <c r="F29" s="610"/>
      <c r="G29" s="610"/>
      <c r="H29" s="611"/>
      <c r="I29" s="25"/>
      <c r="J29" s="25"/>
      <c r="K29" s="25"/>
      <c r="L29" s="25"/>
      <c r="M29" s="25"/>
      <c r="N29" s="25"/>
      <c r="O29" s="25"/>
      <c r="P29" s="25"/>
      <c r="Q29" s="25"/>
      <c r="R29" s="25"/>
      <c r="S29" s="25"/>
      <c r="T29" s="25"/>
      <c r="U29" s="25"/>
      <c r="V29" s="25"/>
      <c r="W29" s="25"/>
      <c r="X29" s="25"/>
      <c r="Y29" s="25"/>
      <c r="Z29" s="25"/>
      <c r="AA29" s="25"/>
      <c r="AB29" s="25"/>
      <c r="AC29" s="25"/>
      <c r="AD29" s="25"/>
    </row>
    <row r="30" spans="1:30" ht="27.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sheetData>
  <sheetProtection algorithmName="SHA-512" hashValue="Mb2IFo/4jbyHSzVyJMyPzt5btdcJWs3VIMgLCfY1ikiwv4KPnLJcnTDn+poFGibYKU5q6WQoj1Wbmnk79+P2+A==" saltValue="KBc/93FoK3iOgEV94rljs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zeroHeight="1"/>
  <cols>
    <col min="1" max="1" width="8.85546875" customWidth="1"/>
    <col min="2" max="2" width="79.28515625" customWidth="1"/>
    <col min="3" max="3" width="24.140625" customWidth="1"/>
    <col min="4" max="4" width="31.140625" customWidth="1"/>
    <col min="5" max="5" width="114.42578125" customWidth="1"/>
    <col min="6" max="6" width="35.7109375" customWidth="1"/>
    <col min="7" max="11" width="17.85546875" customWidth="1"/>
    <col min="12" max="13" width="41.28515625" customWidth="1"/>
    <col min="14" max="14" width="96" customWidth="1"/>
    <col min="15" max="15" width="9.140625" customWidth="1"/>
    <col min="16" max="19" width="9.140625" hidden="1" customWidth="1"/>
    <col min="20" max="16380" width="14.42578125" hidden="1" customWidth="1"/>
    <col min="16381" max="16383" width="14.42578125" style="25" customWidth="1"/>
    <col min="16384" max="16384" width="9.140625" style="25"/>
  </cols>
  <sheetData>
    <row r="1" spans="1:20">
      <c r="A1" s="25"/>
      <c r="B1" s="1016" t="s">
        <v>372</v>
      </c>
      <c r="C1" s="1017"/>
      <c r="D1" s="1017"/>
      <c r="E1" s="1017"/>
      <c r="F1" s="1017"/>
      <c r="G1" s="1017"/>
      <c r="H1" s="1017"/>
      <c r="I1" s="1017"/>
      <c r="J1" s="1017"/>
      <c r="K1" s="1017"/>
      <c r="L1" s="1017"/>
      <c r="M1" s="1017"/>
      <c r="N1" s="1018"/>
      <c r="O1" s="25"/>
      <c r="P1" s="25"/>
      <c r="Q1" s="25"/>
      <c r="R1" s="25"/>
      <c r="S1" s="25"/>
      <c r="T1" s="25"/>
    </row>
    <row r="2" spans="1:20" ht="15.75" thickBot="1">
      <c r="A2" s="25"/>
      <c r="B2" s="1019"/>
      <c r="C2" s="1020"/>
      <c r="D2" s="1020"/>
      <c r="E2" s="1020"/>
      <c r="F2" s="1020"/>
      <c r="G2" s="1020"/>
      <c r="H2" s="1020"/>
      <c r="I2" s="1020"/>
      <c r="J2" s="1020"/>
      <c r="K2" s="1020"/>
      <c r="L2" s="1020"/>
      <c r="M2" s="1020"/>
      <c r="N2" s="1021"/>
      <c r="O2" s="25"/>
      <c r="P2" s="25"/>
      <c r="Q2" s="25"/>
      <c r="R2" s="25"/>
      <c r="S2" s="25"/>
      <c r="T2" s="25"/>
    </row>
    <row r="3" spans="1:20" ht="18.75">
      <c r="A3" s="25"/>
      <c r="B3" s="1028" t="s">
        <v>258</v>
      </c>
      <c r="C3" s="1025" t="s">
        <v>373</v>
      </c>
      <c r="D3" s="1026"/>
      <c r="E3" s="1026"/>
      <c r="F3" s="1027"/>
      <c r="G3" s="1041" t="s">
        <v>374</v>
      </c>
      <c r="H3" s="1042"/>
      <c r="I3" s="1042"/>
      <c r="J3" s="1042"/>
      <c r="K3" s="1042"/>
      <c r="L3" s="1042"/>
      <c r="M3" s="1043"/>
      <c r="N3" s="1022" t="s">
        <v>375</v>
      </c>
      <c r="O3" s="25"/>
      <c r="P3" s="25"/>
      <c r="Q3" s="25"/>
      <c r="R3" s="25"/>
      <c r="S3" s="25"/>
      <c r="T3" s="25"/>
    </row>
    <row r="4" spans="1:20" ht="98.25" customHeight="1">
      <c r="A4" s="25"/>
      <c r="B4" s="1029"/>
      <c r="C4" s="1039" t="s">
        <v>376</v>
      </c>
      <c r="D4" s="1037" t="s">
        <v>377</v>
      </c>
      <c r="E4" s="1037" t="s">
        <v>378</v>
      </c>
      <c r="F4" s="1035" t="s">
        <v>379</v>
      </c>
      <c r="G4" s="63" t="s">
        <v>380</v>
      </c>
      <c r="H4" s="220" t="s">
        <v>381</v>
      </c>
      <c r="I4" s="220" t="s">
        <v>382</v>
      </c>
      <c r="J4" s="220" t="s">
        <v>383</v>
      </c>
      <c r="K4" s="220" t="s">
        <v>384</v>
      </c>
      <c r="L4" s="1033" t="s">
        <v>385</v>
      </c>
      <c r="M4" s="1031" t="s">
        <v>386</v>
      </c>
      <c r="N4" s="1023"/>
      <c r="O4" s="25"/>
      <c r="P4" s="25"/>
      <c r="Q4" s="25"/>
      <c r="R4" s="25"/>
      <c r="S4" s="25"/>
      <c r="T4" s="25"/>
    </row>
    <row r="5" spans="1:20" ht="65.45" customHeight="1" thickBot="1">
      <c r="A5" s="25"/>
      <c r="B5" s="1030"/>
      <c r="C5" s="1040"/>
      <c r="D5" s="1038"/>
      <c r="E5" s="1038"/>
      <c r="F5" s="1036"/>
      <c r="G5" s="223" t="s">
        <v>114</v>
      </c>
      <c r="H5" s="222" t="s">
        <v>387</v>
      </c>
      <c r="I5" s="222" t="s">
        <v>388</v>
      </c>
      <c r="J5" s="222" t="s">
        <v>389</v>
      </c>
      <c r="K5" s="222" t="s">
        <v>390</v>
      </c>
      <c r="L5" s="1034"/>
      <c r="M5" s="1032"/>
      <c r="N5" s="1024"/>
      <c r="O5" s="25"/>
      <c r="P5" s="25"/>
      <c r="Q5" s="25"/>
      <c r="R5" s="25"/>
      <c r="S5" s="25"/>
      <c r="T5" s="25"/>
    </row>
    <row r="6" spans="1:20" ht="30">
      <c r="A6" s="25"/>
      <c r="B6" s="337" t="s">
        <v>296</v>
      </c>
      <c r="C6" s="335" t="s">
        <v>389</v>
      </c>
      <c r="D6" s="239" t="s">
        <v>389</v>
      </c>
      <c r="E6" s="340" t="s">
        <v>391</v>
      </c>
      <c r="F6" s="338" t="s">
        <v>389</v>
      </c>
      <c r="G6" s="224" t="s">
        <v>392</v>
      </c>
      <c r="H6" s="221" t="s">
        <v>392</v>
      </c>
      <c r="I6" s="221" t="s">
        <v>392</v>
      </c>
      <c r="J6" s="221">
        <v>1</v>
      </c>
      <c r="K6" s="7" t="s">
        <v>392</v>
      </c>
      <c r="L6" s="221" t="s">
        <v>392</v>
      </c>
      <c r="M6" s="225">
        <v>1</v>
      </c>
      <c r="N6" s="234" t="s">
        <v>391</v>
      </c>
      <c r="O6" s="25"/>
      <c r="P6" s="25"/>
      <c r="Q6" s="25"/>
      <c r="R6" s="25"/>
      <c r="S6" s="25"/>
      <c r="T6" s="25"/>
    </row>
    <row r="7" spans="1:20" ht="30">
      <c r="A7" s="25"/>
      <c r="B7" s="231" t="s">
        <v>298</v>
      </c>
      <c r="C7" s="336" t="s">
        <v>389</v>
      </c>
      <c r="D7" s="9" t="s">
        <v>389</v>
      </c>
      <c r="E7" s="233" t="s">
        <v>391</v>
      </c>
      <c r="F7" s="338" t="s">
        <v>389</v>
      </c>
      <c r="G7" s="226" t="s">
        <v>392</v>
      </c>
      <c r="H7" s="7" t="s">
        <v>392</v>
      </c>
      <c r="I7" s="7" t="s">
        <v>392</v>
      </c>
      <c r="J7" s="7">
        <v>1</v>
      </c>
      <c r="K7" s="7" t="s">
        <v>392</v>
      </c>
      <c r="L7" s="7" t="s">
        <v>392</v>
      </c>
      <c r="M7" s="227">
        <v>1</v>
      </c>
      <c r="N7" s="235" t="s">
        <v>391</v>
      </c>
      <c r="O7" s="25"/>
      <c r="P7" s="25"/>
      <c r="Q7" s="25"/>
      <c r="R7" s="25"/>
      <c r="S7" s="25"/>
      <c r="T7" s="25"/>
    </row>
    <row r="8" spans="1:20" ht="30">
      <c r="A8" s="25"/>
      <c r="B8" s="231" t="s">
        <v>299</v>
      </c>
      <c r="C8" s="336" t="s">
        <v>389</v>
      </c>
      <c r="D8" s="9" t="s">
        <v>389</v>
      </c>
      <c r="E8" s="233" t="s">
        <v>391</v>
      </c>
      <c r="F8" s="338" t="s">
        <v>389</v>
      </c>
      <c r="G8" s="226" t="s">
        <v>392</v>
      </c>
      <c r="H8" s="7" t="s">
        <v>392</v>
      </c>
      <c r="I8" s="7" t="s">
        <v>392</v>
      </c>
      <c r="J8" s="7">
        <v>1</v>
      </c>
      <c r="K8" s="7" t="s">
        <v>392</v>
      </c>
      <c r="L8" s="7" t="s">
        <v>392</v>
      </c>
      <c r="M8" s="227">
        <v>1</v>
      </c>
      <c r="N8" s="235" t="s">
        <v>391</v>
      </c>
      <c r="O8" s="25"/>
      <c r="P8" s="25"/>
      <c r="Q8" s="25"/>
      <c r="R8" s="25"/>
      <c r="S8" s="25"/>
      <c r="T8" s="25"/>
    </row>
    <row r="9" spans="1:20" ht="30">
      <c r="A9" s="25"/>
      <c r="B9" s="231" t="s">
        <v>300</v>
      </c>
      <c r="C9" s="336" t="s">
        <v>389</v>
      </c>
      <c r="D9" s="9" t="s">
        <v>389</v>
      </c>
      <c r="E9" s="233" t="s">
        <v>391</v>
      </c>
      <c r="F9" s="338" t="s">
        <v>389</v>
      </c>
      <c r="G9" s="226" t="s">
        <v>392</v>
      </c>
      <c r="H9" s="7" t="s">
        <v>392</v>
      </c>
      <c r="I9" s="7" t="s">
        <v>392</v>
      </c>
      <c r="J9" s="7">
        <v>1</v>
      </c>
      <c r="K9" s="7" t="s">
        <v>392</v>
      </c>
      <c r="L9" s="7" t="s">
        <v>392</v>
      </c>
      <c r="M9" s="227">
        <v>1</v>
      </c>
      <c r="N9" s="235" t="s">
        <v>391</v>
      </c>
      <c r="O9" s="25"/>
      <c r="P9" s="25"/>
      <c r="Q9" s="25"/>
      <c r="R9" s="25"/>
      <c r="S9" s="25"/>
      <c r="T9" s="25"/>
    </row>
    <row r="10" spans="1:20" ht="30">
      <c r="A10" s="25"/>
      <c r="B10" s="231" t="s">
        <v>301</v>
      </c>
      <c r="C10" s="336" t="s">
        <v>389</v>
      </c>
      <c r="D10" s="9" t="s">
        <v>389</v>
      </c>
      <c r="E10" s="233" t="s">
        <v>393</v>
      </c>
      <c r="F10" s="238" t="s">
        <v>392</v>
      </c>
      <c r="G10" s="226" t="s">
        <v>392</v>
      </c>
      <c r="H10" s="7" t="s">
        <v>392</v>
      </c>
      <c r="I10" s="7" t="s">
        <v>392</v>
      </c>
      <c r="J10" s="7">
        <v>1</v>
      </c>
      <c r="K10" s="7" t="s">
        <v>392</v>
      </c>
      <c r="L10" s="7" t="s">
        <v>392</v>
      </c>
      <c r="M10" s="227" t="s">
        <v>392</v>
      </c>
      <c r="N10" s="235" t="s">
        <v>394</v>
      </c>
      <c r="O10" s="25"/>
      <c r="P10" s="25"/>
      <c r="Q10" s="25"/>
      <c r="R10" s="25"/>
      <c r="S10" s="25"/>
      <c r="T10" s="25"/>
    </row>
    <row r="11" spans="1:20" ht="30">
      <c r="A11" s="25"/>
      <c r="B11" s="231" t="s">
        <v>303</v>
      </c>
      <c r="C11" s="336" t="s">
        <v>389</v>
      </c>
      <c r="D11" s="9" t="s">
        <v>389</v>
      </c>
      <c r="E11" s="233" t="s">
        <v>391</v>
      </c>
      <c r="F11" s="338" t="s">
        <v>389</v>
      </c>
      <c r="G11" s="226" t="s">
        <v>392</v>
      </c>
      <c r="H11" s="7" t="s">
        <v>392</v>
      </c>
      <c r="I11" s="7" t="s">
        <v>392</v>
      </c>
      <c r="J11" s="7">
        <v>1</v>
      </c>
      <c r="K11" s="7" t="s">
        <v>392</v>
      </c>
      <c r="L11" s="7" t="s">
        <v>392</v>
      </c>
      <c r="M11" s="227" t="s">
        <v>392</v>
      </c>
      <c r="N11" s="235" t="s">
        <v>391</v>
      </c>
      <c r="O11" s="25"/>
      <c r="P11" s="25"/>
      <c r="Q11" s="25"/>
      <c r="R11" s="25"/>
      <c r="S11" s="25"/>
      <c r="T11" s="25"/>
    </row>
    <row r="12" spans="1:20" ht="30">
      <c r="A12" s="25"/>
      <c r="B12" s="231" t="s">
        <v>304</v>
      </c>
      <c r="C12" s="336" t="s">
        <v>389</v>
      </c>
      <c r="D12" s="9" t="s">
        <v>389</v>
      </c>
      <c r="E12" s="233" t="s">
        <v>393</v>
      </c>
      <c r="F12" s="238" t="s">
        <v>392</v>
      </c>
      <c r="G12" s="226" t="s">
        <v>392</v>
      </c>
      <c r="H12" s="7" t="s">
        <v>392</v>
      </c>
      <c r="I12" s="7" t="s">
        <v>392</v>
      </c>
      <c r="J12" s="7">
        <v>1</v>
      </c>
      <c r="K12" s="7" t="s">
        <v>392</v>
      </c>
      <c r="L12" s="7" t="s">
        <v>392</v>
      </c>
      <c r="M12" s="227" t="s">
        <v>392</v>
      </c>
      <c r="N12" s="235" t="s">
        <v>394</v>
      </c>
      <c r="O12" s="25"/>
      <c r="P12" s="25"/>
      <c r="Q12" s="25"/>
      <c r="R12" s="25"/>
      <c r="S12" s="25"/>
      <c r="T12" s="25"/>
    </row>
    <row r="13" spans="1:20" ht="30">
      <c r="A13" s="25"/>
      <c r="B13" s="231" t="s">
        <v>305</v>
      </c>
      <c r="C13" s="336" t="s">
        <v>389</v>
      </c>
      <c r="D13" s="9" t="s">
        <v>389</v>
      </c>
      <c r="E13" s="233" t="s">
        <v>393</v>
      </c>
      <c r="F13" s="238" t="s">
        <v>392</v>
      </c>
      <c r="G13" s="226" t="s">
        <v>392</v>
      </c>
      <c r="H13" s="7" t="s">
        <v>392</v>
      </c>
      <c r="I13" s="7" t="s">
        <v>392</v>
      </c>
      <c r="J13" s="7">
        <v>1</v>
      </c>
      <c r="K13" s="7" t="s">
        <v>392</v>
      </c>
      <c r="L13" s="7" t="s">
        <v>392</v>
      </c>
      <c r="M13" s="227" t="s">
        <v>392</v>
      </c>
      <c r="N13" s="235" t="s">
        <v>394</v>
      </c>
      <c r="O13" s="25"/>
      <c r="P13" s="25"/>
      <c r="Q13" s="25"/>
      <c r="R13" s="25"/>
      <c r="S13" s="25"/>
      <c r="T13" s="25"/>
    </row>
    <row r="14" spans="1:20" ht="30">
      <c r="A14" s="25"/>
      <c r="B14" s="231" t="s">
        <v>306</v>
      </c>
      <c r="C14" s="336" t="s">
        <v>389</v>
      </c>
      <c r="D14" s="9" t="s">
        <v>389</v>
      </c>
      <c r="E14" s="233" t="s">
        <v>393</v>
      </c>
      <c r="F14" s="238" t="s">
        <v>392</v>
      </c>
      <c r="G14" s="226" t="s">
        <v>392</v>
      </c>
      <c r="H14" s="7" t="s">
        <v>392</v>
      </c>
      <c r="I14" s="7" t="s">
        <v>392</v>
      </c>
      <c r="J14" s="7">
        <v>1</v>
      </c>
      <c r="K14" s="7" t="s">
        <v>392</v>
      </c>
      <c r="L14" s="7" t="s">
        <v>392</v>
      </c>
      <c r="M14" s="227" t="s">
        <v>392</v>
      </c>
      <c r="N14" s="235" t="s">
        <v>394</v>
      </c>
      <c r="O14" s="25"/>
      <c r="P14" s="25"/>
      <c r="Q14" s="25"/>
      <c r="R14" s="25"/>
      <c r="S14" s="25"/>
      <c r="T14" s="25"/>
    </row>
    <row r="15" spans="1:20" ht="30">
      <c r="A15" s="25"/>
      <c r="B15" s="231" t="s">
        <v>307</v>
      </c>
      <c r="C15" s="336" t="s">
        <v>389</v>
      </c>
      <c r="D15" s="9" t="s">
        <v>389</v>
      </c>
      <c r="E15" s="233" t="s">
        <v>395</v>
      </c>
      <c r="F15" s="238" t="s">
        <v>392</v>
      </c>
      <c r="G15" s="226" t="s">
        <v>392</v>
      </c>
      <c r="H15" s="7" t="s">
        <v>392</v>
      </c>
      <c r="I15" s="7" t="s">
        <v>392</v>
      </c>
      <c r="J15" s="7">
        <v>1</v>
      </c>
      <c r="K15" s="7" t="s">
        <v>392</v>
      </c>
      <c r="L15" s="7" t="s">
        <v>392</v>
      </c>
      <c r="M15" s="227" t="s">
        <v>392</v>
      </c>
      <c r="N15" s="235" t="s">
        <v>396</v>
      </c>
      <c r="O15" s="25"/>
      <c r="P15" s="25"/>
      <c r="Q15" s="25"/>
      <c r="R15" s="25"/>
      <c r="S15" s="25"/>
      <c r="T15" s="25"/>
    </row>
    <row r="16" spans="1:20" ht="30">
      <c r="A16" s="25"/>
      <c r="B16" s="231" t="s">
        <v>308</v>
      </c>
      <c r="C16" s="336" t="s">
        <v>389</v>
      </c>
      <c r="D16" s="9" t="s">
        <v>389</v>
      </c>
      <c r="E16" s="233" t="s">
        <v>395</v>
      </c>
      <c r="F16" s="238" t="s">
        <v>392</v>
      </c>
      <c r="G16" s="226" t="s">
        <v>392</v>
      </c>
      <c r="H16" s="7" t="s">
        <v>392</v>
      </c>
      <c r="I16" s="7" t="s">
        <v>392</v>
      </c>
      <c r="J16" s="7">
        <v>1</v>
      </c>
      <c r="K16" s="7" t="s">
        <v>392</v>
      </c>
      <c r="L16" s="7" t="s">
        <v>392</v>
      </c>
      <c r="M16" s="227" t="s">
        <v>392</v>
      </c>
      <c r="N16" s="235" t="s">
        <v>396</v>
      </c>
      <c r="O16" s="25"/>
      <c r="P16" s="25"/>
      <c r="Q16" s="25"/>
      <c r="R16" s="25"/>
      <c r="S16" s="25"/>
      <c r="T16" s="25"/>
    </row>
    <row r="17" spans="1:20">
      <c r="A17" s="25"/>
      <c r="B17" s="231" t="s">
        <v>309</v>
      </c>
      <c r="C17" s="226" t="s">
        <v>114</v>
      </c>
      <c r="D17" s="7" t="s">
        <v>397</v>
      </c>
      <c r="E17" s="227" t="s">
        <v>398</v>
      </c>
      <c r="F17" s="238" t="s">
        <v>387</v>
      </c>
      <c r="G17" s="226">
        <v>4</v>
      </c>
      <c r="H17" s="7">
        <v>7</v>
      </c>
      <c r="I17" s="7" t="s">
        <v>392</v>
      </c>
      <c r="J17" s="7" t="s">
        <v>392</v>
      </c>
      <c r="K17" s="7" t="s">
        <v>392</v>
      </c>
      <c r="L17" s="7">
        <v>10</v>
      </c>
      <c r="M17" s="227">
        <v>15</v>
      </c>
      <c r="N17" s="235" t="s">
        <v>399</v>
      </c>
      <c r="O17" s="25"/>
      <c r="P17" s="25"/>
      <c r="Q17" s="25"/>
      <c r="R17" s="25"/>
      <c r="S17" s="25"/>
      <c r="T17" s="25"/>
    </row>
    <row r="18" spans="1:20">
      <c r="A18" s="25"/>
      <c r="B18" s="231" t="s">
        <v>310</v>
      </c>
      <c r="C18" s="226" t="s">
        <v>114</v>
      </c>
      <c r="D18" s="7" t="s">
        <v>397</v>
      </c>
      <c r="E18" s="227" t="s">
        <v>310</v>
      </c>
      <c r="F18" s="238" t="s">
        <v>387</v>
      </c>
      <c r="G18" s="226">
        <v>10</v>
      </c>
      <c r="H18" s="7">
        <v>15</v>
      </c>
      <c r="I18" s="7" t="s">
        <v>392</v>
      </c>
      <c r="J18" s="7" t="s">
        <v>392</v>
      </c>
      <c r="K18" s="7" t="s">
        <v>392</v>
      </c>
      <c r="L18" s="7">
        <v>10</v>
      </c>
      <c r="M18" s="227">
        <v>15</v>
      </c>
      <c r="N18" s="235" t="s">
        <v>400</v>
      </c>
      <c r="O18" s="25"/>
      <c r="P18" s="25"/>
      <c r="Q18" s="25"/>
      <c r="R18" s="25"/>
      <c r="S18" s="25"/>
      <c r="T18" s="25"/>
    </row>
    <row r="19" spans="1:20">
      <c r="A19" s="25"/>
      <c r="B19" s="231" t="s">
        <v>311</v>
      </c>
      <c r="C19" s="226" t="s">
        <v>114</v>
      </c>
      <c r="D19" s="7" t="s">
        <v>397</v>
      </c>
      <c r="E19" s="227" t="s">
        <v>311</v>
      </c>
      <c r="F19" s="238" t="s">
        <v>387</v>
      </c>
      <c r="G19" s="226">
        <v>5</v>
      </c>
      <c r="H19" s="7">
        <v>10</v>
      </c>
      <c r="I19" s="7" t="s">
        <v>392</v>
      </c>
      <c r="J19" s="7" t="s">
        <v>392</v>
      </c>
      <c r="K19" s="7" t="s">
        <v>392</v>
      </c>
      <c r="L19" s="7">
        <v>10</v>
      </c>
      <c r="M19" s="227">
        <v>15</v>
      </c>
      <c r="N19" s="235" t="s">
        <v>400</v>
      </c>
      <c r="O19" s="25"/>
      <c r="P19" s="25"/>
      <c r="Q19" s="25"/>
      <c r="R19" s="25"/>
      <c r="S19" s="25"/>
      <c r="T19" s="25"/>
    </row>
    <row r="20" spans="1:20">
      <c r="A20" s="25"/>
      <c r="B20" s="231" t="s">
        <v>312</v>
      </c>
      <c r="C20" s="226" t="s">
        <v>114</v>
      </c>
      <c r="D20" s="7" t="s">
        <v>397</v>
      </c>
      <c r="E20" s="227" t="s">
        <v>312</v>
      </c>
      <c r="F20" s="238" t="s">
        <v>387</v>
      </c>
      <c r="G20" s="226">
        <v>10</v>
      </c>
      <c r="H20" s="7">
        <v>15</v>
      </c>
      <c r="I20" s="7" t="s">
        <v>392</v>
      </c>
      <c r="J20" s="7" t="s">
        <v>392</v>
      </c>
      <c r="K20" s="7" t="s">
        <v>392</v>
      </c>
      <c r="L20" s="7">
        <v>10</v>
      </c>
      <c r="M20" s="227">
        <v>15</v>
      </c>
      <c r="N20" s="235" t="s">
        <v>400</v>
      </c>
      <c r="O20" s="25"/>
      <c r="P20" s="25"/>
      <c r="Q20" s="25"/>
      <c r="R20" s="25"/>
      <c r="S20" s="25"/>
      <c r="T20" s="25"/>
    </row>
    <row r="21" spans="1:20">
      <c r="A21" s="25"/>
      <c r="B21" s="231" t="s">
        <v>313</v>
      </c>
      <c r="C21" s="226" t="s">
        <v>114</v>
      </c>
      <c r="D21" s="7" t="s">
        <v>397</v>
      </c>
      <c r="E21" s="227" t="s">
        <v>313</v>
      </c>
      <c r="F21" s="238" t="s">
        <v>387</v>
      </c>
      <c r="G21" s="226">
        <v>5</v>
      </c>
      <c r="H21" s="7">
        <v>10</v>
      </c>
      <c r="I21" s="7" t="s">
        <v>392</v>
      </c>
      <c r="J21" s="7" t="s">
        <v>392</v>
      </c>
      <c r="K21" s="7" t="s">
        <v>392</v>
      </c>
      <c r="L21" s="7">
        <v>3</v>
      </c>
      <c r="M21" s="227">
        <v>10</v>
      </c>
      <c r="N21" s="235" t="s">
        <v>400</v>
      </c>
      <c r="O21" s="25"/>
      <c r="P21" s="25"/>
      <c r="Q21" s="25"/>
      <c r="R21" s="25"/>
      <c r="S21" s="25"/>
      <c r="T21" s="25"/>
    </row>
    <row r="22" spans="1:20" ht="30">
      <c r="A22" s="25"/>
      <c r="B22" s="231" t="s">
        <v>314</v>
      </c>
      <c r="C22" s="336" t="s">
        <v>389</v>
      </c>
      <c r="D22" s="9" t="s">
        <v>389</v>
      </c>
      <c r="E22" s="227" t="s">
        <v>401</v>
      </c>
      <c r="F22" s="238" t="s">
        <v>392</v>
      </c>
      <c r="G22" s="226" t="s">
        <v>392</v>
      </c>
      <c r="H22" s="7" t="s">
        <v>392</v>
      </c>
      <c r="I22" s="7" t="s">
        <v>392</v>
      </c>
      <c r="J22" s="7">
        <v>1</v>
      </c>
      <c r="K22" s="7" t="s">
        <v>392</v>
      </c>
      <c r="L22" s="7" t="s">
        <v>392</v>
      </c>
      <c r="M22" s="227" t="s">
        <v>392</v>
      </c>
      <c r="N22" s="235" t="s">
        <v>402</v>
      </c>
      <c r="O22" s="25"/>
      <c r="P22" s="25"/>
      <c r="Q22" s="25"/>
      <c r="R22" s="25"/>
      <c r="S22" s="25"/>
      <c r="T22" s="25"/>
    </row>
    <row r="23" spans="1:20">
      <c r="A23" s="25"/>
      <c r="B23" s="231" t="s">
        <v>315</v>
      </c>
      <c r="C23" s="226" t="s">
        <v>114</v>
      </c>
      <c r="D23" s="7" t="s">
        <v>397</v>
      </c>
      <c r="E23" s="227" t="s">
        <v>315</v>
      </c>
      <c r="F23" s="238" t="s">
        <v>387</v>
      </c>
      <c r="G23" s="226">
        <v>5</v>
      </c>
      <c r="H23" s="7">
        <v>10</v>
      </c>
      <c r="I23" s="7" t="s">
        <v>392</v>
      </c>
      <c r="J23" s="7" t="s">
        <v>392</v>
      </c>
      <c r="K23" s="7" t="s">
        <v>392</v>
      </c>
      <c r="L23" s="7">
        <v>3</v>
      </c>
      <c r="M23" s="227">
        <v>10</v>
      </c>
      <c r="N23" s="235" t="s">
        <v>400</v>
      </c>
      <c r="O23" s="25"/>
      <c r="P23" s="25"/>
      <c r="Q23" s="25"/>
      <c r="R23" s="25"/>
      <c r="S23" s="25"/>
      <c r="T23" s="25"/>
    </row>
    <row r="24" spans="1:20">
      <c r="A24" s="25"/>
      <c r="B24" s="231" t="s">
        <v>316</v>
      </c>
      <c r="C24" s="226" t="s">
        <v>114</v>
      </c>
      <c r="D24" s="7" t="s">
        <v>397</v>
      </c>
      <c r="E24" s="227" t="s">
        <v>316</v>
      </c>
      <c r="F24" s="238" t="s">
        <v>387</v>
      </c>
      <c r="G24" s="226">
        <v>5</v>
      </c>
      <c r="H24" s="7">
        <v>10</v>
      </c>
      <c r="I24" s="7" t="s">
        <v>392</v>
      </c>
      <c r="J24" s="7" t="s">
        <v>392</v>
      </c>
      <c r="K24" s="7" t="s">
        <v>392</v>
      </c>
      <c r="L24" s="7">
        <v>3</v>
      </c>
      <c r="M24" s="227">
        <v>10</v>
      </c>
      <c r="N24" s="235" t="s">
        <v>400</v>
      </c>
      <c r="O24" s="25"/>
      <c r="P24" s="25"/>
      <c r="Q24" s="25"/>
      <c r="R24" s="25"/>
      <c r="S24" s="25"/>
      <c r="T24" s="25"/>
    </row>
    <row r="25" spans="1:20">
      <c r="A25" s="25"/>
      <c r="B25" s="231" t="s">
        <v>317</v>
      </c>
      <c r="C25" s="226" t="s">
        <v>114</v>
      </c>
      <c r="D25" s="7" t="s">
        <v>397</v>
      </c>
      <c r="E25" s="227" t="s">
        <v>317</v>
      </c>
      <c r="F25" s="238" t="s">
        <v>387</v>
      </c>
      <c r="G25" s="226">
        <v>10</v>
      </c>
      <c r="H25" s="7">
        <v>15</v>
      </c>
      <c r="I25" s="7" t="s">
        <v>392</v>
      </c>
      <c r="J25" s="7" t="s">
        <v>392</v>
      </c>
      <c r="K25" s="7" t="s">
        <v>392</v>
      </c>
      <c r="L25" s="7">
        <v>7</v>
      </c>
      <c r="M25" s="227">
        <v>15</v>
      </c>
      <c r="N25" s="235" t="s">
        <v>400</v>
      </c>
      <c r="O25" s="25"/>
      <c r="P25" s="25"/>
      <c r="Q25" s="25"/>
      <c r="R25" s="25"/>
      <c r="S25" s="25"/>
      <c r="T25" s="25"/>
    </row>
    <row r="26" spans="1:20">
      <c r="A26" s="25"/>
      <c r="B26" s="231" t="s">
        <v>318</v>
      </c>
      <c r="C26" s="226" t="s">
        <v>114</v>
      </c>
      <c r="D26" s="7" t="s">
        <v>397</v>
      </c>
      <c r="E26" s="227" t="s">
        <v>318</v>
      </c>
      <c r="F26" s="238" t="s">
        <v>387</v>
      </c>
      <c r="G26" s="226">
        <v>5</v>
      </c>
      <c r="H26" s="7">
        <v>10</v>
      </c>
      <c r="I26" s="7" t="s">
        <v>392</v>
      </c>
      <c r="J26" s="7" t="s">
        <v>392</v>
      </c>
      <c r="K26" s="7" t="s">
        <v>392</v>
      </c>
      <c r="L26" s="7">
        <v>3</v>
      </c>
      <c r="M26" s="227">
        <v>10</v>
      </c>
      <c r="N26" s="235" t="s">
        <v>400</v>
      </c>
      <c r="O26" s="25"/>
      <c r="P26" s="25"/>
      <c r="Q26" s="25"/>
      <c r="R26" s="25"/>
      <c r="S26" s="25"/>
      <c r="T26" s="25"/>
    </row>
    <row r="27" spans="1:20" ht="30">
      <c r="A27" s="25"/>
      <c r="B27" s="231" t="s">
        <v>319</v>
      </c>
      <c r="C27" s="336" t="s">
        <v>389</v>
      </c>
      <c r="D27" s="9" t="s">
        <v>389</v>
      </c>
      <c r="E27" s="227" t="s">
        <v>401</v>
      </c>
      <c r="F27" s="238" t="s">
        <v>392</v>
      </c>
      <c r="G27" s="226" t="s">
        <v>392</v>
      </c>
      <c r="H27" s="7" t="s">
        <v>392</v>
      </c>
      <c r="I27" s="7" t="s">
        <v>392</v>
      </c>
      <c r="J27" s="7">
        <v>1</v>
      </c>
      <c r="K27" s="7" t="s">
        <v>392</v>
      </c>
      <c r="L27" s="7" t="s">
        <v>392</v>
      </c>
      <c r="M27" s="227" t="s">
        <v>392</v>
      </c>
      <c r="N27" s="235" t="s">
        <v>402</v>
      </c>
      <c r="O27" s="25"/>
      <c r="P27" s="25"/>
      <c r="Q27" s="25"/>
      <c r="R27" s="25"/>
      <c r="S27" s="25"/>
      <c r="T27" s="25"/>
    </row>
    <row r="28" spans="1:20" ht="30">
      <c r="A28" s="25"/>
      <c r="B28" s="231" t="s">
        <v>320</v>
      </c>
      <c r="C28" s="336" t="s">
        <v>389</v>
      </c>
      <c r="D28" s="9" t="s">
        <v>389</v>
      </c>
      <c r="E28" s="227" t="s">
        <v>401</v>
      </c>
      <c r="F28" s="238" t="s">
        <v>392</v>
      </c>
      <c r="G28" s="226" t="s">
        <v>392</v>
      </c>
      <c r="H28" s="7" t="s">
        <v>392</v>
      </c>
      <c r="I28" s="7" t="s">
        <v>392</v>
      </c>
      <c r="J28" s="7">
        <v>1</v>
      </c>
      <c r="K28" s="7" t="s">
        <v>392</v>
      </c>
      <c r="L28" s="7" t="s">
        <v>392</v>
      </c>
      <c r="M28" s="227" t="s">
        <v>392</v>
      </c>
      <c r="N28" s="235" t="s">
        <v>402</v>
      </c>
      <c r="O28" s="25"/>
      <c r="P28" s="25"/>
      <c r="Q28" s="25"/>
      <c r="R28" s="25"/>
      <c r="S28" s="25"/>
      <c r="T28" s="25"/>
    </row>
    <row r="29" spans="1:20">
      <c r="A29" s="25"/>
      <c r="B29" s="231" t="s">
        <v>321</v>
      </c>
      <c r="C29" s="226" t="s">
        <v>114</v>
      </c>
      <c r="D29" s="7" t="s">
        <v>397</v>
      </c>
      <c r="E29" s="227" t="s">
        <v>321</v>
      </c>
      <c r="F29" s="238" t="s">
        <v>387</v>
      </c>
      <c r="G29" s="226">
        <v>10</v>
      </c>
      <c r="H29" s="7">
        <v>15</v>
      </c>
      <c r="I29" s="7" t="s">
        <v>392</v>
      </c>
      <c r="J29" s="7" t="s">
        <v>392</v>
      </c>
      <c r="K29" s="7" t="s">
        <v>392</v>
      </c>
      <c r="L29" s="7">
        <v>7</v>
      </c>
      <c r="M29" s="227">
        <v>15</v>
      </c>
      <c r="N29" s="235" t="s">
        <v>400</v>
      </c>
      <c r="O29" s="25"/>
      <c r="P29" s="25"/>
      <c r="Q29" s="25"/>
      <c r="R29" s="25"/>
      <c r="S29" s="25"/>
      <c r="T29" s="25"/>
    </row>
    <row r="30" spans="1:20">
      <c r="A30" s="25"/>
      <c r="B30" s="231" t="s">
        <v>322</v>
      </c>
      <c r="C30" s="226" t="s">
        <v>114</v>
      </c>
      <c r="D30" s="7" t="s">
        <v>397</v>
      </c>
      <c r="E30" s="227" t="s">
        <v>403</v>
      </c>
      <c r="F30" s="238" t="s">
        <v>387</v>
      </c>
      <c r="G30" s="226">
        <v>3</v>
      </c>
      <c r="H30" s="7">
        <v>5</v>
      </c>
      <c r="I30" s="7" t="s">
        <v>392</v>
      </c>
      <c r="J30" s="7" t="s">
        <v>392</v>
      </c>
      <c r="K30" s="7" t="s">
        <v>392</v>
      </c>
      <c r="L30" s="7">
        <v>4</v>
      </c>
      <c r="M30" s="227">
        <v>5</v>
      </c>
      <c r="N30" s="235" t="s">
        <v>404</v>
      </c>
      <c r="O30" s="25"/>
      <c r="P30" s="25"/>
      <c r="Q30" s="25"/>
      <c r="R30" s="25"/>
      <c r="S30" s="25"/>
      <c r="T30" s="25"/>
    </row>
    <row r="31" spans="1:20">
      <c r="A31" s="25"/>
      <c r="B31" s="231" t="s">
        <v>324</v>
      </c>
      <c r="C31" s="226" t="s">
        <v>114</v>
      </c>
      <c r="D31" s="7" t="s">
        <v>397</v>
      </c>
      <c r="E31" s="227" t="s">
        <v>324</v>
      </c>
      <c r="F31" s="238" t="s">
        <v>387</v>
      </c>
      <c r="G31" s="226">
        <v>3</v>
      </c>
      <c r="H31" s="7">
        <v>5</v>
      </c>
      <c r="I31" s="7" t="s">
        <v>392</v>
      </c>
      <c r="J31" s="7" t="s">
        <v>392</v>
      </c>
      <c r="K31" s="7" t="s">
        <v>392</v>
      </c>
      <c r="L31" s="7">
        <v>4</v>
      </c>
      <c r="M31" s="227">
        <v>5</v>
      </c>
      <c r="N31" s="235" t="s">
        <v>400</v>
      </c>
      <c r="O31" s="25"/>
      <c r="P31" s="25"/>
      <c r="Q31" s="25"/>
      <c r="R31" s="25"/>
      <c r="S31" s="25"/>
      <c r="T31" s="25"/>
    </row>
    <row r="32" spans="1:20">
      <c r="A32" s="25"/>
      <c r="B32" s="231" t="s">
        <v>325</v>
      </c>
      <c r="C32" s="226" t="s">
        <v>114</v>
      </c>
      <c r="D32" s="7" t="s">
        <v>397</v>
      </c>
      <c r="E32" s="227" t="s">
        <v>325</v>
      </c>
      <c r="F32" s="238" t="s">
        <v>387</v>
      </c>
      <c r="G32" s="226">
        <v>5</v>
      </c>
      <c r="H32" s="7">
        <v>10</v>
      </c>
      <c r="I32" s="7" t="s">
        <v>392</v>
      </c>
      <c r="J32" s="7" t="s">
        <v>392</v>
      </c>
      <c r="K32" s="7" t="s">
        <v>392</v>
      </c>
      <c r="L32" s="7">
        <v>20</v>
      </c>
      <c r="M32" s="227">
        <v>10</v>
      </c>
      <c r="N32" s="235" t="s">
        <v>400</v>
      </c>
      <c r="O32" s="25"/>
      <c r="P32" s="25"/>
      <c r="Q32" s="25"/>
      <c r="R32" s="25"/>
      <c r="S32" s="25"/>
      <c r="T32" s="25"/>
    </row>
    <row r="33" spans="1:20">
      <c r="A33" s="25"/>
      <c r="B33" s="231" t="s">
        <v>326</v>
      </c>
      <c r="C33" s="226" t="s">
        <v>114</v>
      </c>
      <c r="D33" s="7" t="s">
        <v>397</v>
      </c>
      <c r="E33" s="227" t="s">
        <v>326</v>
      </c>
      <c r="F33" s="238" t="s">
        <v>387</v>
      </c>
      <c r="G33" s="226">
        <v>3</v>
      </c>
      <c r="H33" s="7">
        <v>5</v>
      </c>
      <c r="I33" s="7" t="s">
        <v>392</v>
      </c>
      <c r="J33" s="7" t="s">
        <v>392</v>
      </c>
      <c r="K33" s="7" t="s">
        <v>392</v>
      </c>
      <c r="L33" s="7">
        <v>2</v>
      </c>
      <c r="M33" s="227" t="s">
        <v>392</v>
      </c>
      <c r="N33" s="235" t="s">
        <v>400</v>
      </c>
      <c r="O33" s="25"/>
      <c r="P33" s="25"/>
      <c r="Q33" s="25"/>
      <c r="R33" s="25"/>
      <c r="S33" s="25"/>
      <c r="T33" s="25"/>
    </row>
    <row r="34" spans="1:20">
      <c r="A34" s="25"/>
      <c r="B34" s="231" t="s">
        <v>327</v>
      </c>
      <c r="C34" s="226" t="s">
        <v>114</v>
      </c>
      <c r="D34" s="7" t="s">
        <v>397</v>
      </c>
      <c r="E34" s="227" t="s">
        <v>327</v>
      </c>
      <c r="F34" s="238" t="s">
        <v>387</v>
      </c>
      <c r="G34" s="226">
        <v>10</v>
      </c>
      <c r="H34" s="7">
        <v>20</v>
      </c>
      <c r="I34" s="7" t="s">
        <v>392</v>
      </c>
      <c r="J34" s="7" t="s">
        <v>392</v>
      </c>
      <c r="K34" s="7" t="s">
        <v>392</v>
      </c>
      <c r="L34" s="7">
        <v>10</v>
      </c>
      <c r="M34" s="227">
        <v>20</v>
      </c>
      <c r="N34" s="235" t="s">
        <v>400</v>
      </c>
      <c r="O34" s="25"/>
      <c r="P34" s="25"/>
      <c r="Q34" s="25"/>
      <c r="R34" s="25"/>
      <c r="S34" s="25"/>
      <c r="T34" s="25"/>
    </row>
    <row r="35" spans="1:20">
      <c r="A35" s="25"/>
      <c r="B35" s="231" t="s">
        <v>328</v>
      </c>
      <c r="C35" s="226" t="s">
        <v>114</v>
      </c>
      <c r="D35" s="7" t="s">
        <v>397</v>
      </c>
      <c r="E35" s="231" t="s">
        <v>328</v>
      </c>
      <c r="F35" s="238" t="s">
        <v>387</v>
      </c>
      <c r="G35" s="226">
        <v>3</v>
      </c>
      <c r="H35" s="7">
        <v>5</v>
      </c>
      <c r="I35" s="7" t="s">
        <v>392</v>
      </c>
      <c r="J35" s="7" t="s">
        <v>392</v>
      </c>
      <c r="K35" s="7" t="s">
        <v>392</v>
      </c>
      <c r="L35" s="7">
        <v>2</v>
      </c>
      <c r="M35" s="227" t="s">
        <v>392</v>
      </c>
      <c r="N35" s="235" t="s">
        <v>400</v>
      </c>
      <c r="O35" s="25"/>
      <c r="P35" s="25"/>
      <c r="Q35" s="25"/>
      <c r="R35" s="25"/>
      <c r="S35" s="25"/>
      <c r="T35" s="25"/>
    </row>
    <row r="36" spans="1:20">
      <c r="A36" s="25"/>
      <c r="B36" s="231" t="s">
        <v>329</v>
      </c>
      <c r="C36" s="226" t="s">
        <v>114</v>
      </c>
      <c r="D36" s="7" t="s">
        <v>397</v>
      </c>
      <c r="E36" s="227" t="s">
        <v>329</v>
      </c>
      <c r="F36" s="238" t="s">
        <v>387</v>
      </c>
      <c r="G36" s="226">
        <v>1</v>
      </c>
      <c r="H36" s="7">
        <v>1</v>
      </c>
      <c r="I36" s="7" t="s">
        <v>392</v>
      </c>
      <c r="J36" s="7" t="s">
        <v>392</v>
      </c>
      <c r="K36" s="7" t="s">
        <v>392</v>
      </c>
      <c r="L36" s="7">
        <v>1</v>
      </c>
      <c r="M36" s="227">
        <v>1</v>
      </c>
      <c r="N36" s="235" t="s">
        <v>400</v>
      </c>
      <c r="O36" s="25"/>
      <c r="P36" s="25"/>
      <c r="Q36" s="25"/>
      <c r="R36" s="25"/>
      <c r="S36" s="25"/>
      <c r="T36" s="25"/>
    </row>
    <row r="37" spans="1:20">
      <c r="A37" s="25"/>
      <c r="B37" s="231" t="s">
        <v>330</v>
      </c>
      <c r="C37" s="226" t="s">
        <v>390</v>
      </c>
      <c r="D37" s="7" t="s">
        <v>390</v>
      </c>
      <c r="E37" s="233" t="s">
        <v>391</v>
      </c>
      <c r="F37" s="238" t="s">
        <v>392</v>
      </c>
      <c r="G37" s="226" t="s">
        <v>392</v>
      </c>
      <c r="H37" s="7" t="s">
        <v>392</v>
      </c>
      <c r="I37" s="7" t="s">
        <v>392</v>
      </c>
      <c r="J37" s="7" t="s">
        <v>392</v>
      </c>
      <c r="K37" s="7">
        <v>0</v>
      </c>
      <c r="L37" s="7" t="s">
        <v>392</v>
      </c>
      <c r="M37" s="227" t="s">
        <v>392</v>
      </c>
      <c r="N37" s="235" t="s">
        <v>391</v>
      </c>
      <c r="O37" s="25"/>
      <c r="P37" s="25"/>
      <c r="Q37" s="25"/>
      <c r="R37" s="25"/>
      <c r="S37" s="25"/>
      <c r="T37" s="25"/>
    </row>
    <row r="38" spans="1:20">
      <c r="A38" s="25"/>
      <c r="B38" s="231" t="s">
        <v>333</v>
      </c>
      <c r="C38" s="226" t="s">
        <v>114</v>
      </c>
      <c r="D38" s="7" t="s">
        <v>397</v>
      </c>
      <c r="E38" s="227" t="s">
        <v>333</v>
      </c>
      <c r="F38" s="238" t="s">
        <v>387</v>
      </c>
      <c r="G38" s="226">
        <v>1</v>
      </c>
      <c r="H38" s="7">
        <v>3</v>
      </c>
      <c r="I38" s="7" t="s">
        <v>392</v>
      </c>
      <c r="J38" s="7" t="s">
        <v>392</v>
      </c>
      <c r="K38" s="7" t="s">
        <v>392</v>
      </c>
      <c r="L38" s="7">
        <v>2</v>
      </c>
      <c r="M38" s="227">
        <v>3</v>
      </c>
      <c r="N38" s="235" t="s">
        <v>400</v>
      </c>
      <c r="O38" s="25"/>
      <c r="P38" s="25"/>
      <c r="Q38" s="25"/>
      <c r="R38" s="25"/>
      <c r="S38" s="25"/>
      <c r="T38" s="25"/>
    </row>
    <row r="39" spans="1:20">
      <c r="A39" s="25"/>
      <c r="B39" s="231" t="s">
        <v>334</v>
      </c>
      <c r="C39" s="226" t="s">
        <v>114</v>
      </c>
      <c r="D39" s="7" t="s">
        <v>397</v>
      </c>
      <c r="E39" s="227" t="s">
        <v>334</v>
      </c>
      <c r="F39" s="238" t="s">
        <v>387</v>
      </c>
      <c r="G39" s="226">
        <v>5</v>
      </c>
      <c r="H39" s="7">
        <v>10</v>
      </c>
      <c r="I39" s="7" t="s">
        <v>392</v>
      </c>
      <c r="J39" s="7" t="s">
        <v>392</v>
      </c>
      <c r="K39" s="7" t="s">
        <v>392</v>
      </c>
      <c r="L39" s="7">
        <v>5</v>
      </c>
      <c r="M39" s="227">
        <v>10</v>
      </c>
      <c r="N39" s="235" t="s">
        <v>400</v>
      </c>
      <c r="O39" s="25"/>
      <c r="P39" s="25"/>
      <c r="Q39" s="25"/>
      <c r="R39" s="25"/>
      <c r="S39" s="25"/>
      <c r="T39" s="25"/>
    </row>
    <row r="40" spans="1:20">
      <c r="A40" s="25"/>
      <c r="B40" s="231" t="s">
        <v>335</v>
      </c>
      <c r="C40" s="226" t="s">
        <v>390</v>
      </c>
      <c r="D40" s="7" t="s">
        <v>390</v>
      </c>
      <c r="E40" s="233" t="s">
        <v>391</v>
      </c>
      <c r="F40" s="238" t="s">
        <v>392</v>
      </c>
      <c r="G40" s="226" t="s">
        <v>392</v>
      </c>
      <c r="H40" s="7" t="s">
        <v>392</v>
      </c>
      <c r="I40" s="7" t="s">
        <v>392</v>
      </c>
      <c r="J40" s="7" t="s">
        <v>392</v>
      </c>
      <c r="K40" s="7">
        <v>0</v>
      </c>
      <c r="L40" s="7" t="s">
        <v>392</v>
      </c>
      <c r="M40" s="227" t="s">
        <v>392</v>
      </c>
      <c r="N40" s="235" t="s">
        <v>391</v>
      </c>
      <c r="O40" s="25"/>
      <c r="P40" s="25"/>
      <c r="Q40" s="25"/>
      <c r="R40" s="25"/>
      <c r="S40" s="25"/>
      <c r="T40" s="25"/>
    </row>
    <row r="41" spans="1:20">
      <c r="A41" s="25"/>
      <c r="B41" s="231" t="s">
        <v>336</v>
      </c>
      <c r="C41" s="226" t="s">
        <v>114</v>
      </c>
      <c r="D41" s="7" t="s">
        <v>397</v>
      </c>
      <c r="E41" s="227" t="s">
        <v>336</v>
      </c>
      <c r="F41" s="238" t="s">
        <v>387</v>
      </c>
      <c r="G41" s="226">
        <v>15</v>
      </c>
      <c r="H41" s="7">
        <v>20</v>
      </c>
      <c r="I41" s="7" t="s">
        <v>392</v>
      </c>
      <c r="J41" s="7" t="s">
        <v>392</v>
      </c>
      <c r="K41" s="7" t="s">
        <v>392</v>
      </c>
      <c r="L41" s="7">
        <v>15</v>
      </c>
      <c r="M41" s="227">
        <v>20</v>
      </c>
      <c r="N41" s="235" t="s">
        <v>400</v>
      </c>
      <c r="O41" s="25"/>
      <c r="P41" s="25"/>
      <c r="Q41" s="25"/>
      <c r="R41" s="25"/>
      <c r="S41" s="25"/>
      <c r="T41" s="25"/>
    </row>
    <row r="42" spans="1:20">
      <c r="A42" s="25"/>
      <c r="B42" s="231" t="s">
        <v>337</v>
      </c>
      <c r="C42" s="226" t="s">
        <v>390</v>
      </c>
      <c r="D42" s="7" t="s">
        <v>390</v>
      </c>
      <c r="E42" s="233" t="s">
        <v>391</v>
      </c>
      <c r="F42" s="238" t="s">
        <v>392</v>
      </c>
      <c r="G42" s="226" t="s">
        <v>392</v>
      </c>
      <c r="H42" s="7" t="s">
        <v>392</v>
      </c>
      <c r="I42" s="7" t="s">
        <v>392</v>
      </c>
      <c r="J42" s="7" t="s">
        <v>392</v>
      </c>
      <c r="K42" s="7">
        <v>0</v>
      </c>
      <c r="L42" s="7" t="s">
        <v>392</v>
      </c>
      <c r="M42" s="227" t="s">
        <v>392</v>
      </c>
      <c r="N42" s="235" t="s">
        <v>391</v>
      </c>
      <c r="O42" s="25"/>
      <c r="P42" s="25"/>
      <c r="Q42" s="25"/>
      <c r="R42" s="25"/>
      <c r="S42" s="25"/>
      <c r="T42" s="25"/>
    </row>
    <row r="43" spans="1:20" ht="30">
      <c r="A43" s="25"/>
      <c r="B43" s="231" t="s">
        <v>342</v>
      </c>
      <c r="C43" s="336" t="s">
        <v>389</v>
      </c>
      <c r="D43" s="9" t="s">
        <v>389</v>
      </c>
      <c r="E43" s="227" t="s">
        <v>334</v>
      </c>
      <c r="F43" s="238" t="s">
        <v>392</v>
      </c>
      <c r="G43" s="226" t="s">
        <v>392</v>
      </c>
      <c r="H43" s="7" t="s">
        <v>392</v>
      </c>
      <c r="I43" s="7" t="s">
        <v>392</v>
      </c>
      <c r="J43" s="7">
        <v>1</v>
      </c>
      <c r="K43" s="7" t="s">
        <v>392</v>
      </c>
      <c r="L43" s="7" t="s">
        <v>392</v>
      </c>
      <c r="M43" s="7" t="s">
        <v>392</v>
      </c>
      <c r="N43" s="235" t="s">
        <v>405</v>
      </c>
      <c r="O43" s="25"/>
      <c r="P43" s="25"/>
      <c r="Q43" s="25"/>
      <c r="R43" s="25"/>
      <c r="S43" s="25"/>
      <c r="T43" s="25"/>
    </row>
    <row r="44" spans="1:20">
      <c r="A44" s="25"/>
      <c r="B44" s="231" t="s">
        <v>339</v>
      </c>
      <c r="C44" s="226" t="s">
        <v>114</v>
      </c>
      <c r="D44" s="7" t="s">
        <v>397</v>
      </c>
      <c r="E44" s="227" t="s">
        <v>339</v>
      </c>
      <c r="F44" s="238" t="s">
        <v>387</v>
      </c>
      <c r="G44" s="226">
        <v>3</v>
      </c>
      <c r="H44" s="7">
        <v>5</v>
      </c>
      <c r="I44" s="7" t="s">
        <v>392</v>
      </c>
      <c r="J44" s="7" t="s">
        <v>392</v>
      </c>
      <c r="K44" s="7" t="s">
        <v>392</v>
      </c>
      <c r="L44" s="7">
        <v>2</v>
      </c>
      <c r="M44" s="227">
        <v>5</v>
      </c>
      <c r="N44" s="235" t="s">
        <v>400</v>
      </c>
      <c r="O44" s="25"/>
      <c r="P44" s="25"/>
      <c r="Q44" s="25"/>
      <c r="R44" s="25"/>
      <c r="S44" s="25"/>
      <c r="T44" s="25"/>
    </row>
    <row r="45" spans="1:20">
      <c r="A45" s="25"/>
      <c r="B45" s="231" t="s">
        <v>340</v>
      </c>
      <c r="C45" s="226" t="s">
        <v>114</v>
      </c>
      <c r="D45" s="7" t="s">
        <v>397</v>
      </c>
      <c r="E45" s="227" t="s">
        <v>340</v>
      </c>
      <c r="F45" s="238" t="s">
        <v>387</v>
      </c>
      <c r="G45" s="226">
        <v>3</v>
      </c>
      <c r="H45" s="7">
        <v>5</v>
      </c>
      <c r="I45" s="7" t="s">
        <v>392</v>
      </c>
      <c r="J45" s="7" t="s">
        <v>392</v>
      </c>
      <c r="K45" s="7" t="s">
        <v>392</v>
      </c>
      <c r="L45" s="7">
        <v>2</v>
      </c>
      <c r="M45" s="227">
        <v>5</v>
      </c>
      <c r="N45" s="235" t="s">
        <v>400</v>
      </c>
      <c r="O45" s="25"/>
      <c r="P45" s="25"/>
      <c r="Q45" s="25"/>
      <c r="R45" s="25"/>
      <c r="S45" s="25"/>
      <c r="T45" s="25"/>
    </row>
    <row r="46" spans="1:20" ht="30">
      <c r="A46" s="25"/>
      <c r="B46" s="231" t="s">
        <v>341</v>
      </c>
      <c r="C46" s="336" t="s">
        <v>389</v>
      </c>
      <c r="D46" s="9" t="s">
        <v>389</v>
      </c>
      <c r="E46" s="233" t="s">
        <v>391</v>
      </c>
      <c r="F46" s="238" t="s">
        <v>392</v>
      </c>
      <c r="G46" s="226" t="s">
        <v>392</v>
      </c>
      <c r="H46" s="7" t="s">
        <v>392</v>
      </c>
      <c r="I46" s="7" t="s">
        <v>392</v>
      </c>
      <c r="J46" s="7">
        <v>1</v>
      </c>
      <c r="K46" s="7" t="s">
        <v>392</v>
      </c>
      <c r="L46" s="7" t="s">
        <v>392</v>
      </c>
      <c r="M46" s="227" t="s">
        <v>392</v>
      </c>
      <c r="N46" s="235" t="s">
        <v>391</v>
      </c>
      <c r="O46" s="25"/>
      <c r="P46" s="25"/>
      <c r="Q46" s="25"/>
      <c r="R46" s="25"/>
      <c r="S46" s="25"/>
      <c r="T46" s="25"/>
    </row>
    <row r="47" spans="1:20">
      <c r="A47" s="25"/>
      <c r="B47" s="231" t="s">
        <v>338</v>
      </c>
      <c r="C47" s="226" t="s">
        <v>114</v>
      </c>
      <c r="D47" s="7" t="s">
        <v>397</v>
      </c>
      <c r="E47" s="227" t="s">
        <v>406</v>
      </c>
      <c r="F47" s="238" t="s">
        <v>387</v>
      </c>
      <c r="G47" s="226">
        <v>3</v>
      </c>
      <c r="H47" s="7">
        <v>5</v>
      </c>
      <c r="I47" s="7" t="s">
        <v>392</v>
      </c>
      <c r="J47" s="7" t="s">
        <v>392</v>
      </c>
      <c r="K47" s="7" t="s">
        <v>392</v>
      </c>
      <c r="L47" s="7">
        <v>2</v>
      </c>
      <c r="M47" s="227">
        <v>10</v>
      </c>
      <c r="N47" s="235" t="s">
        <v>407</v>
      </c>
      <c r="O47" s="25"/>
      <c r="P47" s="25"/>
      <c r="Q47" s="25"/>
      <c r="R47" s="25"/>
      <c r="S47" s="25"/>
      <c r="T47" s="25"/>
    </row>
    <row r="48" spans="1:20" ht="30">
      <c r="A48" s="25"/>
      <c r="B48" s="231" t="s">
        <v>343</v>
      </c>
      <c r="C48" s="336" t="s">
        <v>389</v>
      </c>
      <c r="D48" s="9" t="s">
        <v>389</v>
      </c>
      <c r="E48" s="233" t="s">
        <v>391</v>
      </c>
      <c r="F48" s="238" t="s">
        <v>392</v>
      </c>
      <c r="G48" s="226" t="s">
        <v>392</v>
      </c>
      <c r="H48" s="7" t="s">
        <v>392</v>
      </c>
      <c r="I48" s="7" t="s">
        <v>392</v>
      </c>
      <c r="J48" s="7">
        <v>1</v>
      </c>
      <c r="K48" s="7" t="s">
        <v>392</v>
      </c>
      <c r="L48" s="7" t="s">
        <v>392</v>
      </c>
      <c r="M48" s="227" t="s">
        <v>392</v>
      </c>
      <c r="N48" s="235" t="s">
        <v>391</v>
      </c>
      <c r="O48" s="25"/>
      <c r="P48" s="25"/>
      <c r="Q48" s="25"/>
      <c r="R48" s="25"/>
      <c r="S48" s="25"/>
      <c r="T48" s="25"/>
    </row>
    <row r="49" spans="1:20">
      <c r="A49" s="25"/>
      <c r="B49" s="231" t="s">
        <v>344</v>
      </c>
      <c r="C49" s="226" t="s">
        <v>114</v>
      </c>
      <c r="D49" s="7" t="s">
        <v>397</v>
      </c>
      <c r="E49" s="227" t="s">
        <v>344</v>
      </c>
      <c r="F49" s="238" t="s">
        <v>387</v>
      </c>
      <c r="G49" s="226">
        <v>3</v>
      </c>
      <c r="H49" s="7">
        <v>5</v>
      </c>
      <c r="I49" s="7" t="s">
        <v>392</v>
      </c>
      <c r="J49" s="7" t="s">
        <v>392</v>
      </c>
      <c r="K49" s="7" t="s">
        <v>392</v>
      </c>
      <c r="L49" s="7">
        <v>1</v>
      </c>
      <c r="M49" s="227">
        <v>1</v>
      </c>
      <c r="N49" s="235" t="s">
        <v>400</v>
      </c>
      <c r="O49" s="25"/>
      <c r="P49" s="25"/>
      <c r="Q49" s="25"/>
      <c r="R49" s="25"/>
      <c r="S49" s="25"/>
      <c r="T49" s="25"/>
    </row>
    <row r="50" spans="1:20" ht="30">
      <c r="A50" s="25"/>
      <c r="B50" s="231" t="s">
        <v>345</v>
      </c>
      <c r="C50" s="336" t="s">
        <v>389</v>
      </c>
      <c r="D50" s="9" t="s">
        <v>389</v>
      </c>
      <c r="E50" s="227" t="s">
        <v>327</v>
      </c>
      <c r="F50" s="238" t="s">
        <v>392</v>
      </c>
      <c r="G50" s="226" t="s">
        <v>392</v>
      </c>
      <c r="H50" s="7" t="s">
        <v>392</v>
      </c>
      <c r="I50" s="7" t="s">
        <v>392</v>
      </c>
      <c r="J50" s="7">
        <v>1</v>
      </c>
      <c r="K50" s="7" t="s">
        <v>392</v>
      </c>
      <c r="L50" s="7" t="s">
        <v>392</v>
      </c>
      <c r="M50" s="227" t="s">
        <v>392</v>
      </c>
      <c r="N50" s="235" t="s">
        <v>408</v>
      </c>
      <c r="O50" s="25"/>
      <c r="P50" s="25"/>
      <c r="Q50" s="25"/>
      <c r="R50" s="25"/>
      <c r="S50" s="25"/>
      <c r="T50" s="25"/>
    </row>
    <row r="51" spans="1:20">
      <c r="A51" s="25"/>
      <c r="B51" s="231" t="s">
        <v>94</v>
      </c>
      <c r="C51" s="226" t="s">
        <v>114</v>
      </c>
      <c r="D51" s="7" t="s">
        <v>397</v>
      </c>
      <c r="E51" s="231" t="s">
        <v>94</v>
      </c>
      <c r="F51" s="238" t="s">
        <v>387</v>
      </c>
      <c r="G51" s="226">
        <v>27</v>
      </c>
      <c r="H51" s="7" t="s">
        <v>409</v>
      </c>
      <c r="I51" s="7" t="s">
        <v>392</v>
      </c>
      <c r="J51" s="7" t="s">
        <v>392</v>
      </c>
      <c r="K51" s="7" t="s">
        <v>392</v>
      </c>
      <c r="L51" s="7">
        <v>16</v>
      </c>
      <c r="M51" s="227" t="s">
        <v>392</v>
      </c>
      <c r="N51" s="235" t="s">
        <v>391</v>
      </c>
      <c r="O51" s="25"/>
      <c r="P51" s="25"/>
      <c r="Q51" s="25"/>
      <c r="R51" s="25"/>
      <c r="S51" s="25"/>
      <c r="T51" s="25"/>
    </row>
    <row r="52" spans="1:20">
      <c r="A52" s="25"/>
      <c r="B52" s="231" t="s">
        <v>346</v>
      </c>
      <c r="C52" s="226" t="s">
        <v>114</v>
      </c>
      <c r="D52" s="7" t="s">
        <v>397</v>
      </c>
      <c r="E52" s="227" t="s">
        <v>346</v>
      </c>
      <c r="F52" s="238" t="s">
        <v>387</v>
      </c>
      <c r="G52" s="226">
        <v>3</v>
      </c>
      <c r="H52" s="7">
        <v>5</v>
      </c>
      <c r="I52" s="7" t="s">
        <v>392</v>
      </c>
      <c r="J52" s="7" t="s">
        <v>392</v>
      </c>
      <c r="K52" s="7" t="s">
        <v>392</v>
      </c>
      <c r="L52" s="7">
        <v>2</v>
      </c>
      <c r="M52" s="227">
        <v>5</v>
      </c>
      <c r="N52" s="235" t="s">
        <v>400</v>
      </c>
      <c r="O52" s="25"/>
      <c r="P52" s="25"/>
      <c r="Q52" s="25"/>
      <c r="R52" s="25"/>
      <c r="S52" s="25"/>
      <c r="T52" s="25"/>
    </row>
    <row r="53" spans="1:20">
      <c r="A53" s="25"/>
      <c r="B53" s="231" t="s">
        <v>347</v>
      </c>
      <c r="C53" s="226" t="s">
        <v>390</v>
      </c>
      <c r="D53" s="7" t="s">
        <v>390</v>
      </c>
      <c r="E53" s="233" t="s">
        <v>391</v>
      </c>
      <c r="F53" s="238" t="s">
        <v>392</v>
      </c>
      <c r="G53" s="226" t="s">
        <v>392</v>
      </c>
      <c r="H53" s="7" t="s">
        <v>392</v>
      </c>
      <c r="I53" s="7" t="s">
        <v>392</v>
      </c>
      <c r="J53" s="7" t="s">
        <v>392</v>
      </c>
      <c r="K53" s="7">
        <v>0</v>
      </c>
      <c r="L53" s="7" t="s">
        <v>392</v>
      </c>
      <c r="M53" s="227" t="s">
        <v>392</v>
      </c>
      <c r="N53" s="235" t="s">
        <v>391</v>
      </c>
      <c r="O53" s="25"/>
      <c r="P53" s="25"/>
      <c r="Q53" s="25"/>
      <c r="R53" s="25"/>
      <c r="S53" s="25"/>
      <c r="T53" s="25"/>
    </row>
    <row r="54" spans="1:20">
      <c r="A54" s="25"/>
      <c r="B54" s="231" t="s">
        <v>348</v>
      </c>
      <c r="C54" s="226" t="s">
        <v>114</v>
      </c>
      <c r="D54" s="7" t="s">
        <v>397</v>
      </c>
      <c r="E54" s="227" t="s">
        <v>348</v>
      </c>
      <c r="F54" s="238" t="s">
        <v>387</v>
      </c>
      <c r="G54" s="226">
        <v>3</v>
      </c>
      <c r="H54" s="7">
        <v>5</v>
      </c>
      <c r="I54" s="7" t="s">
        <v>392</v>
      </c>
      <c r="J54" s="7" t="s">
        <v>392</v>
      </c>
      <c r="K54" s="7" t="s">
        <v>392</v>
      </c>
      <c r="L54" s="7">
        <v>1</v>
      </c>
      <c r="M54" s="227">
        <v>1</v>
      </c>
      <c r="N54" s="235" t="s">
        <v>400</v>
      </c>
      <c r="O54" s="25"/>
      <c r="P54" s="25"/>
      <c r="Q54" s="25"/>
      <c r="R54" s="25"/>
      <c r="S54" s="25"/>
      <c r="T54" s="25"/>
    </row>
    <row r="55" spans="1:20" ht="30">
      <c r="A55" s="25"/>
      <c r="B55" s="231" t="s">
        <v>349</v>
      </c>
      <c r="C55" s="336" t="s">
        <v>389</v>
      </c>
      <c r="D55" s="9" t="s">
        <v>389</v>
      </c>
      <c r="E55" s="233" t="s">
        <v>391</v>
      </c>
      <c r="F55" s="238" t="s">
        <v>392</v>
      </c>
      <c r="G55" s="226" t="s">
        <v>392</v>
      </c>
      <c r="H55" s="7" t="s">
        <v>392</v>
      </c>
      <c r="I55" s="7" t="s">
        <v>392</v>
      </c>
      <c r="J55" s="7">
        <v>1</v>
      </c>
      <c r="K55" s="7" t="s">
        <v>392</v>
      </c>
      <c r="L55" s="7">
        <v>2</v>
      </c>
      <c r="M55" s="227">
        <v>5</v>
      </c>
      <c r="N55" s="235" t="s">
        <v>400</v>
      </c>
      <c r="O55" s="25"/>
      <c r="P55" s="25"/>
      <c r="Q55" s="25"/>
      <c r="R55" s="25"/>
      <c r="S55" s="25"/>
      <c r="T55" s="25"/>
    </row>
    <row r="56" spans="1:20">
      <c r="A56" s="25"/>
      <c r="B56" s="231" t="s">
        <v>350</v>
      </c>
      <c r="C56" s="226" t="s">
        <v>114</v>
      </c>
      <c r="D56" s="7" t="s">
        <v>397</v>
      </c>
      <c r="E56" s="238" t="s">
        <v>350</v>
      </c>
      <c r="F56" s="238" t="s">
        <v>387</v>
      </c>
      <c r="G56" s="226">
        <v>3</v>
      </c>
      <c r="H56" s="7">
        <v>5</v>
      </c>
      <c r="I56" s="7" t="s">
        <v>392</v>
      </c>
      <c r="J56" s="7" t="s">
        <v>392</v>
      </c>
      <c r="K56" s="7" t="s">
        <v>392</v>
      </c>
      <c r="L56" s="7">
        <v>1</v>
      </c>
      <c r="M56" s="227">
        <v>1</v>
      </c>
      <c r="N56" s="235" t="s">
        <v>400</v>
      </c>
      <c r="O56" s="25"/>
      <c r="P56" s="25"/>
      <c r="Q56" s="25"/>
      <c r="R56" s="25"/>
      <c r="S56" s="25"/>
      <c r="T56" s="25"/>
    </row>
    <row r="57" spans="1:20">
      <c r="A57" s="25"/>
      <c r="B57" s="231" t="s">
        <v>351</v>
      </c>
      <c r="C57" s="226" t="s">
        <v>114</v>
      </c>
      <c r="D57" s="7" t="s">
        <v>397</v>
      </c>
      <c r="E57" s="227" t="s">
        <v>410</v>
      </c>
      <c r="F57" s="238" t="s">
        <v>387</v>
      </c>
      <c r="G57" s="226">
        <v>30</v>
      </c>
      <c r="H57" s="7" t="s">
        <v>409</v>
      </c>
      <c r="I57" s="7" t="s">
        <v>392</v>
      </c>
      <c r="J57" s="7" t="s">
        <v>392</v>
      </c>
      <c r="K57" s="7" t="s">
        <v>392</v>
      </c>
      <c r="L57" s="7" t="s">
        <v>409</v>
      </c>
      <c r="M57" s="227" t="s">
        <v>392</v>
      </c>
      <c r="N57" s="235" t="s">
        <v>411</v>
      </c>
      <c r="O57" s="25"/>
      <c r="P57" s="25"/>
      <c r="Q57" s="25"/>
      <c r="R57" s="25"/>
      <c r="S57" s="25"/>
      <c r="T57" s="25"/>
    </row>
    <row r="58" spans="1:20">
      <c r="A58" s="25"/>
      <c r="B58" s="231" t="s">
        <v>352</v>
      </c>
      <c r="C58" s="226" t="s">
        <v>114</v>
      </c>
      <c r="D58" s="7" t="s">
        <v>397</v>
      </c>
      <c r="E58" s="227" t="s">
        <v>352</v>
      </c>
      <c r="F58" s="238" t="s">
        <v>387</v>
      </c>
      <c r="G58" s="226" t="s">
        <v>409</v>
      </c>
      <c r="H58" s="7" t="s">
        <v>409</v>
      </c>
      <c r="I58" s="7" t="s">
        <v>392</v>
      </c>
      <c r="J58" s="7" t="s">
        <v>392</v>
      </c>
      <c r="K58" s="7" t="s">
        <v>392</v>
      </c>
      <c r="L58" s="7">
        <v>15</v>
      </c>
      <c r="M58" s="227" t="s">
        <v>409</v>
      </c>
      <c r="N58" s="235" t="s">
        <v>400</v>
      </c>
      <c r="O58" s="25"/>
      <c r="P58" s="25"/>
      <c r="Q58" s="25"/>
      <c r="R58" s="25"/>
      <c r="S58" s="25"/>
      <c r="T58" s="25"/>
    </row>
    <row r="59" spans="1:20">
      <c r="A59" s="25"/>
      <c r="B59" s="231" t="s">
        <v>353</v>
      </c>
      <c r="C59" s="226" t="s">
        <v>114</v>
      </c>
      <c r="D59" s="7" t="s">
        <v>397</v>
      </c>
      <c r="E59" s="227" t="s">
        <v>353</v>
      </c>
      <c r="F59" s="238" t="s">
        <v>387</v>
      </c>
      <c r="G59" s="226">
        <v>15</v>
      </c>
      <c r="H59" s="7" t="s">
        <v>409</v>
      </c>
      <c r="I59" s="7" t="s">
        <v>392</v>
      </c>
      <c r="J59" s="7" t="s">
        <v>392</v>
      </c>
      <c r="K59" s="7" t="s">
        <v>392</v>
      </c>
      <c r="L59" s="7">
        <v>10</v>
      </c>
      <c r="M59" s="227">
        <v>25</v>
      </c>
      <c r="N59" s="235" t="s">
        <v>400</v>
      </c>
      <c r="O59" s="25"/>
      <c r="P59" s="25"/>
      <c r="Q59" s="25"/>
      <c r="R59" s="25"/>
      <c r="S59" s="25"/>
      <c r="T59" s="25"/>
    </row>
    <row r="60" spans="1:20">
      <c r="A60" s="25"/>
      <c r="B60" s="231" t="s">
        <v>354</v>
      </c>
      <c r="C60" s="226" t="s">
        <v>114</v>
      </c>
      <c r="D60" s="7" t="s">
        <v>397</v>
      </c>
      <c r="E60" s="227" t="s">
        <v>354</v>
      </c>
      <c r="F60" s="238" t="s">
        <v>387</v>
      </c>
      <c r="G60" s="226">
        <v>30</v>
      </c>
      <c r="H60" s="7" t="s">
        <v>409</v>
      </c>
      <c r="I60" s="7" t="s">
        <v>392</v>
      </c>
      <c r="J60" s="7" t="s">
        <v>392</v>
      </c>
      <c r="K60" s="7" t="s">
        <v>392</v>
      </c>
      <c r="L60" s="7">
        <v>10</v>
      </c>
      <c r="M60" s="227">
        <v>25</v>
      </c>
      <c r="N60" s="235" t="s">
        <v>400</v>
      </c>
      <c r="O60" s="25"/>
      <c r="P60" s="25"/>
      <c r="Q60" s="25"/>
      <c r="R60" s="25"/>
      <c r="S60" s="25"/>
      <c r="T60" s="25"/>
    </row>
    <row r="61" spans="1:20">
      <c r="A61" s="25"/>
      <c r="B61" s="231" t="s">
        <v>355</v>
      </c>
      <c r="C61" s="226" t="s">
        <v>114</v>
      </c>
      <c r="D61" s="7" t="s">
        <v>397</v>
      </c>
      <c r="E61" s="227" t="s">
        <v>355</v>
      </c>
      <c r="F61" s="238" t="s">
        <v>387</v>
      </c>
      <c r="G61" s="226">
        <v>1</v>
      </c>
      <c r="H61" s="7">
        <v>3</v>
      </c>
      <c r="I61" s="7" t="s">
        <v>392</v>
      </c>
      <c r="J61" s="7" t="s">
        <v>392</v>
      </c>
      <c r="K61" s="7" t="s">
        <v>392</v>
      </c>
      <c r="L61" s="7">
        <v>2</v>
      </c>
      <c r="M61" s="227" t="s">
        <v>392</v>
      </c>
      <c r="N61" s="235" t="s">
        <v>400</v>
      </c>
      <c r="O61" s="25"/>
      <c r="P61" s="25"/>
      <c r="Q61" s="25"/>
      <c r="R61" s="25"/>
      <c r="S61" s="25"/>
      <c r="T61" s="25"/>
    </row>
    <row r="62" spans="1:20">
      <c r="A62" s="25"/>
      <c r="B62" s="231" t="s">
        <v>356</v>
      </c>
      <c r="C62" s="226" t="s">
        <v>114</v>
      </c>
      <c r="D62" s="7" t="s">
        <v>397</v>
      </c>
      <c r="E62" s="227" t="s">
        <v>356</v>
      </c>
      <c r="F62" s="238" t="s">
        <v>387</v>
      </c>
      <c r="G62" s="226">
        <v>7</v>
      </c>
      <c r="H62" s="7">
        <v>15</v>
      </c>
      <c r="I62" s="7" t="s">
        <v>392</v>
      </c>
      <c r="J62" s="7" t="s">
        <v>392</v>
      </c>
      <c r="K62" s="7" t="s">
        <v>392</v>
      </c>
      <c r="L62" s="7">
        <v>14</v>
      </c>
      <c r="M62" s="227" t="s">
        <v>392</v>
      </c>
      <c r="N62" s="235" t="s">
        <v>400</v>
      </c>
      <c r="O62" s="25"/>
      <c r="P62" s="25"/>
      <c r="Q62" s="25"/>
      <c r="R62" s="25"/>
      <c r="S62" s="25"/>
      <c r="T62" s="25"/>
    </row>
    <row r="63" spans="1:20">
      <c r="A63" s="25"/>
      <c r="B63" s="231" t="s">
        <v>357</v>
      </c>
      <c r="C63" s="226" t="s">
        <v>114</v>
      </c>
      <c r="D63" s="7" t="s">
        <v>397</v>
      </c>
      <c r="E63" s="227" t="s">
        <v>357</v>
      </c>
      <c r="F63" s="238" t="s">
        <v>387</v>
      </c>
      <c r="G63" s="226">
        <v>1</v>
      </c>
      <c r="H63" s="7">
        <v>3</v>
      </c>
      <c r="I63" s="7" t="s">
        <v>392</v>
      </c>
      <c r="J63" s="7" t="s">
        <v>392</v>
      </c>
      <c r="K63" s="7" t="s">
        <v>392</v>
      </c>
      <c r="L63" s="7">
        <v>2</v>
      </c>
      <c r="M63" s="227" t="s">
        <v>392</v>
      </c>
      <c r="N63" s="235" t="s">
        <v>400</v>
      </c>
      <c r="O63" s="25"/>
      <c r="P63" s="25"/>
      <c r="Q63" s="25"/>
      <c r="R63" s="25"/>
      <c r="S63" s="25"/>
      <c r="T63" s="25"/>
    </row>
    <row r="64" spans="1:20">
      <c r="A64" s="25"/>
      <c r="B64" s="231" t="s">
        <v>358</v>
      </c>
      <c r="C64" s="226" t="s">
        <v>114</v>
      </c>
      <c r="D64" s="7" t="s">
        <v>397</v>
      </c>
      <c r="E64" s="227" t="s">
        <v>358</v>
      </c>
      <c r="F64" s="238" t="s">
        <v>387</v>
      </c>
      <c r="G64" s="226">
        <v>3</v>
      </c>
      <c r="H64" s="7">
        <v>6</v>
      </c>
      <c r="I64" s="7" t="s">
        <v>392</v>
      </c>
      <c r="J64" s="7" t="s">
        <v>392</v>
      </c>
      <c r="K64" s="7" t="s">
        <v>392</v>
      </c>
      <c r="L64" s="7">
        <v>4</v>
      </c>
      <c r="M64" s="227" t="s">
        <v>392</v>
      </c>
      <c r="N64" s="235" t="s">
        <v>400</v>
      </c>
      <c r="O64" s="25"/>
      <c r="P64" s="25"/>
      <c r="Q64" s="25"/>
      <c r="R64" s="25"/>
      <c r="S64" s="25"/>
      <c r="T64" s="25"/>
    </row>
    <row r="65" spans="1:20">
      <c r="A65" s="25"/>
      <c r="B65" s="231" t="s">
        <v>359</v>
      </c>
      <c r="C65" s="226" t="s">
        <v>114</v>
      </c>
      <c r="D65" s="7" t="s">
        <v>397</v>
      </c>
      <c r="E65" s="227" t="s">
        <v>359</v>
      </c>
      <c r="F65" s="238" t="s">
        <v>387</v>
      </c>
      <c r="G65" s="226">
        <v>1</v>
      </c>
      <c r="H65" s="7">
        <v>4</v>
      </c>
      <c r="I65" s="7" t="s">
        <v>392</v>
      </c>
      <c r="J65" s="7" t="s">
        <v>392</v>
      </c>
      <c r="K65" s="7" t="s">
        <v>392</v>
      </c>
      <c r="L65" s="7">
        <v>3</v>
      </c>
      <c r="M65" s="227" t="s">
        <v>392</v>
      </c>
      <c r="N65" s="235" t="s">
        <v>400</v>
      </c>
      <c r="O65" s="25"/>
      <c r="P65" s="25"/>
      <c r="Q65" s="25"/>
      <c r="R65" s="25"/>
      <c r="S65" s="25"/>
      <c r="T65" s="25"/>
    </row>
    <row r="66" spans="1:20">
      <c r="A66" s="25"/>
      <c r="B66" s="231" t="s">
        <v>360</v>
      </c>
      <c r="C66" s="226" t="s">
        <v>114</v>
      </c>
      <c r="D66" s="7" t="s">
        <v>397</v>
      </c>
      <c r="E66" s="227" t="s">
        <v>360</v>
      </c>
      <c r="F66" s="238" t="s">
        <v>387</v>
      </c>
      <c r="G66" s="226">
        <v>3</v>
      </c>
      <c r="H66" s="7">
        <v>5</v>
      </c>
      <c r="I66" s="7" t="s">
        <v>392</v>
      </c>
      <c r="J66" s="7" t="s">
        <v>392</v>
      </c>
      <c r="K66" s="7" t="s">
        <v>392</v>
      </c>
      <c r="L66" s="7">
        <v>4</v>
      </c>
      <c r="M66" s="227" t="s">
        <v>392</v>
      </c>
      <c r="N66" s="235" t="s">
        <v>400</v>
      </c>
      <c r="O66" s="25"/>
      <c r="P66" s="25"/>
      <c r="Q66" s="25"/>
      <c r="R66" s="25"/>
      <c r="S66" s="25"/>
      <c r="T66" s="25"/>
    </row>
    <row r="67" spans="1:20">
      <c r="A67" s="25"/>
      <c r="B67" s="231" t="s">
        <v>361</v>
      </c>
      <c r="C67" s="226" t="s">
        <v>114</v>
      </c>
      <c r="D67" s="7" t="s">
        <v>397</v>
      </c>
      <c r="E67" s="227" t="s">
        <v>361</v>
      </c>
      <c r="F67" s="238" t="s">
        <v>387</v>
      </c>
      <c r="G67" s="226">
        <v>3</v>
      </c>
      <c r="H67" s="7">
        <v>5</v>
      </c>
      <c r="I67" s="7" t="s">
        <v>392</v>
      </c>
      <c r="J67" s="7" t="s">
        <v>392</v>
      </c>
      <c r="K67" s="7" t="s">
        <v>392</v>
      </c>
      <c r="L67" s="7">
        <v>2</v>
      </c>
      <c r="M67" s="227" t="s">
        <v>392</v>
      </c>
      <c r="N67" s="235" t="s">
        <v>400</v>
      </c>
      <c r="O67" s="25"/>
      <c r="P67" s="25"/>
      <c r="Q67" s="25"/>
      <c r="R67" s="25"/>
      <c r="S67" s="25"/>
      <c r="T67" s="25"/>
    </row>
    <row r="68" spans="1:20">
      <c r="A68" s="25"/>
      <c r="B68" s="231" t="s">
        <v>362</v>
      </c>
      <c r="C68" s="226" t="s">
        <v>114</v>
      </c>
      <c r="D68" s="7" t="s">
        <v>397</v>
      </c>
      <c r="E68" s="227" t="s">
        <v>362</v>
      </c>
      <c r="F68" s="238" t="s">
        <v>387</v>
      </c>
      <c r="G68" s="226">
        <v>10</v>
      </c>
      <c r="H68" s="7">
        <v>20</v>
      </c>
      <c r="I68" s="7" t="s">
        <v>392</v>
      </c>
      <c r="J68" s="7" t="s">
        <v>392</v>
      </c>
      <c r="K68" s="7" t="s">
        <v>392</v>
      </c>
      <c r="L68" s="7">
        <v>20</v>
      </c>
      <c r="M68" s="227" t="s">
        <v>392</v>
      </c>
      <c r="N68" s="235" t="s">
        <v>400</v>
      </c>
      <c r="O68" s="25"/>
      <c r="P68" s="25"/>
      <c r="Q68" s="25"/>
      <c r="R68" s="25"/>
      <c r="S68" s="25"/>
      <c r="T68" s="25"/>
    </row>
    <row r="69" spans="1:20">
      <c r="A69" s="25"/>
      <c r="B69" s="231" t="s">
        <v>363</v>
      </c>
      <c r="C69" s="226" t="s">
        <v>114</v>
      </c>
      <c r="D69" s="7" t="s">
        <v>397</v>
      </c>
      <c r="E69" s="227" t="s">
        <v>363</v>
      </c>
      <c r="F69" s="238" t="s">
        <v>387</v>
      </c>
      <c r="G69" s="226">
        <v>5</v>
      </c>
      <c r="H69" s="7">
        <v>15</v>
      </c>
      <c r="I69" s="7" t="s">
        <v>392</v>
      </c>
      <c r="J69" s="7" t="s">
        <v>392</v>
      </c>
      <c r="K69" s="7" t="s">
        <v>392</v>
      </c>
      <c r="L69" s="7">
        <v>6</v>
      </c>
      <c r="M69" s="227" t="s">
        <v>392</v>
      </c>
      <c r="N69" s="235" t="s">
        <v>400</v>
      </c>
      <c r="O69" s="25"/>
      <c r="P69" s="25"/>
      <c r="Q69" s="25"/>
      <c r="R69" s="25"/>
      <c r="S69" s="25"/>
      <c r="T69" s="25"/>
    </row>
    <row r="70" spans="1:20">
      <c r="A70" s="25"/>
      <c r="B70" s="231" t="s">
        <v>364</v>
      </c>
      <c r="C70" s="226" t="s">
        <v>114</v>
      </c>
      <c r="D70" s="7" t="s">
        <v>397</v>
      </c>
      <c r="E70" s="227" t="s">
        <v>364</v>
      </c>
      <c r="F70" s="238" t="s">
        <v>387</v>
      </c>
      <c r="G70" s="226">
        <v>1</v>
      </c>
      <c r="H70" s="7">
        <v>4</v>
      </c>
      <c r="I70" s="7" t="s">
        <v>392</v>
      </c>
      <c r="J70" s="7" t="s">
        <v>392</v>
      </c>
      <c r="K70" s="7" t="s">
        <v>392</v>
      </c>
      <c r="L70" s="7">
        <v>3</v>
      </c>
      <c r="M70" s="227" t="s">
        <v>392</v>
      </c>
      <c r="N70" s="235" t="s">
        <v>400</v>
      </c>
      <c r="O70" s="25"/>
      <c r="P70" s="25"/>
      <c r="Q70" s="25"/>
      <c r="R70" s="25"/>
      <c r="S70" s="25"/>
      <c r="T70" s="25"/>
    </row>
    <row r="71" spans="1:20">
      <c r="A71" s="25"/>
      <c r="B71" s="231" t="s">
        <v>365</v>
      </c>
      <c r="C71" s="226" t="s">
        <v>114</v>
      </c>
      <c r="D71" s="7" t="s">
        <v>397</v>
      </c>
      <c r="E71" s="227" t="s">
        <v>412</v>
      </c>
      <c r="F71" s="238" t="s">
        <v>387</v>
      </c>
      <c r="G71" s="226">
        <v>5</v>
      </c>
      <c r="H71" s="7">
        <v>15</v>
      </c>
      <c r="I71" s="7" t="s">
        <v>392</v>
      </c>
      <c r="J71" s="7" t="s">
        <v>392</v>
      </c>
      <c r="K71" s="7" t="s">
        <v>392</v>
      </c>
      <c r="L71" s="7">
        <v>8</v>
      </c>
      <c r="M71" s="227" t="s">
        <v>392</v>
      </c>
      <c r="N71" s="235" t="s">
        <v>413</v>
      </c>
      <c r="O71" s="25"/>
      <c r="P71" s="25"/>
      <c r="Q71" s="25"/>
      <c r="R71" s="25"/>
      <c r="S71" s="25"/>
      <c r="T71" s="25"/>
    </row>
    <row r="72" spans="1:20">
      <c r="A72" s="25"/>
      <c r="B72" s="231" t="s">
        <v>366</v>
      </c>
      <c r="C72" s="226" t="s">
        <v>114</v>
      </c>
      <c r="D72" s="7" t="s">
        <v>397</v>
      </c>
      <c r="E72" s="227" t="s">
        <v>414</v>
      </c>
      <c r="F72" s="238" t="s">
        <v>387</v>
      </c>
      <c r="G72" s="226">
        <v>4</v>
      </c>
      <c r="H72" s="7">
        <v>13</v>
      </c>
      <c r="I72" s="7" t="s">
        <v>392</v>
      </c>
      <c r="J72" s="7" t="s">
        <v>392</v>
      </c>
      <c r="K72" s="7" t="s">
        <v>392</v>
      </c>
      <c r="L72" s="7">
        <v>7</v>
      </c>
      <c r="M72" s="227" t="s">
        <v>392</v>
      </c>
      <c r="N72" s="235" t="s">
        <v>413</v>
      </c>
      <c r="O72" s="25"/>
      <c r="P72" s="25"/>
      <c r="Q72" s="25"/>
      <c r="R72" s="25"/>
      <c r="S72" s="25"/>
      <c r="T72" s="25"/>
    </row>
    <row r="73" spans="1:20">
      <c r="A73" s="25"/>
      <c r="B73" s="231" t="s">
        <v>367</v>
      </c>
      <c r="C73" s="226" t="s">
        <v>114</v>
      </c>
      <c r="D73" s="7" t="s">
        <v>397</v>
      </c>
      <c r="E73" s="227" t="s">
        <v>367</v>
      </c>
      <c r="F73" s="238" t="s">
        <v>387</v>
      </c>
      <c r="G73" s="226">
        <v>4</v>
      </c>
      <c r="H73" s="7">
        <v>13</v>
      </c>
      <c r="I73" s="7" t="s">
        <v>392</v>
      </c>
      <c r="J73" s="7" t="s">
        <v>392</v>
      </c>
      <c r="K73" s="7" t="s">
        <v>392</v>
      </c>
      <c r="L73" s="7">
        <v>7</v>
      </c>
      <c r="M73" s="227">
        <v>13</v>
      </c>
      <c r="N73" s="235" t="s">
        <v>400</v>
      </c>
      <c r="O73" s="25"/>
      <c r="P73" s="25"/>
      <c r="Q73" s="25"/>
      <c r="R73" s="25"/>
      <c r="S73" s="25"/>
      <c r="T73" s="25"/>
    </row>
    <row r="74" spans="1:20">
      <c r="A74" s="25"/>
      <c r="B74" s="231" t="s">
        <v>233</v>
      </c>
      <c r="C74" s="226" t="s">
        <v>114</v>
      </c>
      <c r="D74" s="7" t="s">
        <v>397</v>
      </c>
      <c r="E74" s="227" t="s">
        <v>233</v>
      </c>
      <c r="F74" s="238" t="s">
        <v>387</v>
      </c>
      <c r="G74" s="226">
        <v>5</v>
      </c>
      <c r="H74" s="7">
        <v>12</v>
      </c>
      <c r="I74" s="7" t="s">
        <v>392</v>
      </c>
      <c r="J74" s="7" t="s">
        <v>392</v>
      </c>
      <c r="K74" s="7" t="s">
        <v>392</v>
      </c>
      <c r="L74" s="7">
        <v>2</v>
      </c>
      <c r="M74" s="233">
        <v>5</v>
      </c>
      <c r="N74" s="235" t="s">
        <v>400</v>
      </c>
      <c r="O74" s="25"/>
      <c r="P74" s="25"/>
      <c r="Q74" s="25"/>
      <c r="R74" s="25"/>
      <c r="S74" s="25"/>
      <c r="T74" s="25"/>
    </row>
    <row r="75" spans="1:20">
      <c r="A75" s="25"/>
      <c r="B75" s="231" t="s">
        <v>234</v>
      </c>
      <c r="C75" s="226" t="s">
        <v>114</v>
      </c>
      <c r="D75" s="7" t="s">
        <v>397</v>
      </c>
      <c r="E75" s="227" t="s">
        <v>234</v>
      </c>
      <c r="F75" s="238" t="s">
        <v>387</v>
      </c>
      <c r="G75" s="226">
        <v>5</v>
      </c>
      <c r="H75" s="7">
        <v>12</v>
      </c>
      <c r="I75" s="7" t="s">
        <v>392</v>
      </c>
      <c r="J75" s="7" t="s">
        <v>392</v>
      </c>
      <c r="K75" s="7" t="s">
        <v>392</v>
      </c>
      <c r="L75" s="7">
        <v>2</v>
      </c>
      <c r="M75" s="233">
        <v>6</v>
      </c>
      <c r="N75" s="235" t="s">
        <v>400</v>
      </c>
      <c r="O75" s="25"/>
      <c r="P75" s="25"/>
      <c r="Q75" s="25"/>
      <c r="R75" s="25"/>
      <c r="S75" s="25"/>
      <c r="T75" s="25"/>
    </row>
    <row r="76" spans="1:20">
      <c r="A76" s="25"/>
      <c r="B76" s="231" t="s">
        <v>235</v>
      </c>
      <c r="C76" s="226" t="s">
        <v>114</v>
      </c>
      <c r="D76" s="7" t="s">
        <v>397</v>
      </c>
      <c r="E76" s="227" t="s">
        <v>235</v>
      </c>
      <c r="F76" s="238" t="s">
        <v>387</v>
      </c>
      <c r="G76" s="226">
        <v>10</v>
      </c>
      <c r="H76" s="7">
        <v>20</v>
      </c>
      <c r="I76" s="7" t="s">
        <v>392</v>
      </c>
      <c r="J76" s="7" t="s">
        <v>392</v>
      </c>
      <c r="K76" s="7" t="s">
        <v>392</v>
      </c>
      <c r="L76" s="7">
        <v>4</v>
      </c>
      <c r="M76" s="233">
        <v>12</v>
      </c>
      <c r="N76" s="235" t="s">
        <v>400</v>
      </c>
      <c r="O76" s="25"/>
      <c r="P76" s="25"/>
      <c r="Q76" s="25"/>
      <c r="R76" s="25"/>
      <c r="S76" s="25"/>
      <c r="T76" s="25"/>
    </row>
    <row r="77" spans="1:20">
      <c r="A77" s="25"/>
      <c r="B77" s="231" t="s">
        <v>239</v>
      </c>
      <c r="C77" s="226" t="s">
        <v>114</v>
      </c>
      <c r="D77" s="7" t="s">
        <v>397</v>
      </c>
      <c r="E77" s="227" t="s">
        <v>415</v>
      </c>
      <c r="F77" s="238" t="s">
        <v>387</v>
      </c>
      <c r="G77" s="226">
        <v>5</v>
      </c>
      <c r="H77" s="7">
        <v>12</v>
      </c>
      <c r="I77" s="7" t="s">
        <v>392</v>
      </c>
      <c r="J77" s="7" t="s">
        <v>392</v>
      </c>
      <c r="K77" s="7" t="s">
        <v>392</v>
      </c>
      <c r="L77" s="7">
        <v>2</v>
      </c>
      <c r="M77" s="233" t="s">
        <v>392</v>
      </c>
      <c r="N77" s="235" t="s">
        <v>416</v>
      </c>
      <c r="O77" s="25"/>
      <c r="P77" s="25"/>
      <c r="Q77" s="25"/>
      <c r="R77" s="25"/>
      <c r="S77" s="25"/>
      <c r="T77" s="25"/>
    </row>
    <row r="78" spans="1:20">
      <c r="A78" s="25"/>
      <c r="B78" s="231" t="s">
        <v>243</v>
      </c>
      <c r="C78" s="336" t="s">
        <v>388</v>
      </c>
      <c r="D78" s="9" t="s">
        <v>388</v>
      </c>
      <c r="E78" s="233" t="s">
        <v>391</v>
      </c>
      <c r="F78" s="238" t="s">
        <v>392</v>
      </c>
      <c r="G78" s="226" t="s">
        <v>392</v>
      </c>
      <c r="H78" s="7" t="s">
        <v>392</v>
      </c>
      <c r="I78" s="7">
        <v>1</v>
      </c>
      <c r="J78" s="7" t="s">
        <v>392</v>
      </c>
      <c r="K78" s="7" t="s">
        <v>392</v>
      </c>
      <c r="L78" s="7" t="s">
        <v>392</v>
      </c>
      <c r="M78" s="233" t="s">
        <v>392</v>
      </c>
      <c r="N78" s="235" t="s">
        <v>391</v>
      </c>
      <c r="O78" s="25"/>
      <c r="P78" s="25"/>
      <c r="Q78" s="25"/>
      <c r="R78" s="25"/>
      <c r="S78" s="25"/>
      <c r="T78" s="25"/>
    </row>
    <row r="79" spans="1:20" ht="30">
      <c r="A79" s="25"/>
      <c r="B79" s="231" t="s">
        <v>240</v>
      </c>
      <c r="C79" s="226" t="s">
        <v>114</v>
      </c>
      <c r="D79" s="7" t="s">
        <v>397</v>
      </c>
      <c r="E79" s="233" t="s">
        <v>417</v>
      </c>
      <c r="F79" s="238" t="s">
        <v>387</v>
      </c>
      <c r="G79" s="226">
        <v>20</v>
      </c>
      <c r="H79" s="7" t="s">
        <v>409</v>
      </c>
      <c r="I79" s="7" t="s">
        <v>392</v>
      </c>
      <c r="J79" s="7" t="s">
        <v>392</v>
      </c>
      <c r="K79" s="7" t="s">
        <v>418</v>
      </c>
      <c r="L79" s="7">
        <v>10</v>
      </c>
      <c r="M79" s="233" t="s">
        <v>418</v>
      </c>
      <c r="N79" s="235" t="s">
        <v>419</v>
      </c>
      <c r="O79" s="25"/>
      <c r="P79" s="25"/>
      <c r="Q79" s="25"/>
      <c r="R79" s="25"/>
      <c r="S79" s="25"/>
      <c r="T79" s="25"/>
    </row>
    <row r="80" spans="1:20" ht="30">
      <c r="A80" s="25"/>
      <c r="B80" s="231" t="s">
        <v>236</v>
      </c>
      <c r="C80" s="226" t="s">
        <v>114</v>
      </c>
      <c r="D80" s="7" t="s">
        <v>397</v>
      </c>
      <c r="E80" s="227" t="s">
        <v>420</v>
      </c>
      <c r="F80" s="238" t="s">
        <v>387</v>
      </c>
      <c r="G80" s="226">
        <v>20</v>
      </c>
      <c r="H80" s="7" t="s">
        <v>409</v>
      </c>
      <c r="I80" s="7" t="s">
        <v>392</v>
      </c>
      <c r="J80" s="7" t="s">
        <v>392</v>
      </c>
      <c r="K80" s="7" t="s">
        <v>392</v>
      </c>
      <c r="L80" s="7">
        <v>10</v>
      </c>
      <c r="M80" s="233" t="s">
        <v>392</v>
      </c>
      <c r="N80" s="235" t="s">
        <v>421</v>
      </c>
      <c r="O80" s="25"/>
      <c r="P80" s="25"/>
      <c r="Q80" s="25"/>
      <c r="R80" s="25"/>
      <c r="S80" s="25"/>
      <c r="T80" s="25"/>
    </row>
    <row r="81" spans="1:20" ht="30">
      <c r="A81" s="25"/>
      <c r="B81" s="231" t="s">
        <v>241</v>
      </c>
      <c r="C81" s="226" t="s">
        <v>114</v>
      </c>
      <c r="D81" s="7" t="s">
        <v>397</v>
      </c>
      <c r="E81" s="233" t="s">
        <v>422</v>
      </c>
      <c r="F81" s="238" t="s">
        <v>387</v>
      </c>
      <c r="G81" s="226">
        <v>20</v>
      </c>
      <c r="H81" s="7" t="s">
        <v>409</v>
      </c>
      <c r="I81" s="7" t="s">
        <v>392</v>
      </c>
      <c r="J81" s="7" t="s">
        <v>392</v>
      </c>
      <c r="K81" s="7" t="s">
        <v>392</v>
      </c>
      <c r="L81" s="7">
        <v>10</v>
      </c>
      <c r="M81" s="233">
        <v>10</v>
      </c>
      <c r="N81" s="235" t="s">
        <v>419</v>
      </c>
      <c r="O81" s="25"/>
      <c r="P81" s="25"/>
      <c r="Q81" s="25"/>
      <c r="R81" s="25"/>
      <c r="S81" s="25"/>
      <c r="T81" s="25"/>
    </row>
    <row r="82" spans="1:20">
      <c r="A82" s="25"/>
      <c r="B82" s="231" t="s">
        <v>237</v>
      </c>
      <c r="C82" s="226" t="s">
        <v>114</v>
      </c>
      <c r="D82" s="7" t="s">
        <v>397</v>
      </c>
      <c r="E82" s="227" t="s">
        <v>423</v>
      </c>
      <c r="F82" s="238" t="s">
        <v>387</v>
      </c>
      <c r="G82" s="226">
        <v>20</v>
      </c>
      <c r="H82" s="7" t="s">
        <v>409</v>
      </c>
      <c r="I82" s="7" t="s">
        <v>392</v>
      </c>
      <c r="J82" s="7" t="s">
        <v>392</v>
      </c>
      <c r="K82" s="7" t="s">
        <v>392</v>
      </c>
      <c r="L82" s="7">
        <v>10</v>
      </c>
      <c r="M82" s="233">
        <v>10</v>
      </c>
      <c r="N82" s="235" t="s">
        <v>400</v>
      </c>
      <c r="O82" s="25"/>
      <c r="P82" s="25"/>
      <c r="Q82" s="25"/>
      <c r="R82" s="25"/>
      <c r="S82" s="25"/>
      <c r="T82" s="25"/>
    </row>
    <row r="83" spans="1:20">
      <c r="A83" s="25"/>
      <c r="B83" s="231" t="s">
        <v>260</v>
      </c>
      <c r="C83" s="226" t="s">
        <v>114</v>
      </c>
      <c r="D83" s="7" t="s">
        <v>397</v>
      </c>
      <c r="E83" s="227" t="s">
        <v>260</v>
      </c>
      <c r="F83" s="238" t="s">
        <v>387</v>
      </c>
      <c r="G83" s="226">
        <v>5</v>
      </c>
      <c r="H83" s="7">
        <v>10</v>
      </c>
      <c r="I83" s="7" t="s">
        <v>392</v>
      </c>
      <c r="J83" s="7" t="s">
        <v>392</v>
      </c>
      <c r="K83" s="7" t="s">
        <v>392</v>
      </c>
      <c r="L83" s="7">
        <v>4</v>
      </c>
      <c r="M83" s="233">
        <v>10</v>
      </c>
      <c r="N83" s="235" t="s">
        <v>400</v>
      </c>
      <c r="O83" s="25"/>
      <c r="P83" s="25"/>
      <c r="Q83" s="25"/>
      <c r="R83" s="25"/>
      <c r="S83" s="25"/>
      <c r="T83" s="25"/>
    </row>
    <row r="84" spans="1:20">
      <c r="A84" s="25"/>
      <c r="B84" s="231" t="s">
        <v>259</v>
      </c>
      <c r="C84" s="226" t="s">
        <v>114</v>
      </c>
      <c r="D84" s="7" t="s">
        <v>397</v>
      </c>
      <c r="E84" s="227" t="s">
        <v>259</v>
      </c>
      <c r="F84" s="238" t="s">
        <v>387</v>
      </c>
      <c r="G84" s="226">
        <v>5</v>
      </c>
      <c r="H84" s="7">
        <v>10</v>
      </c>
      <c r="I84" s="7" t="s">
        <v>392</v>
      </c>
      <c r="J84" s="7" t="s">
        <v>392</v>
      </c>
      <c r="K84" s="7" t="s">
        <v>392</v>
      </c>
      <c r="L84" s="7">
        <v>4</v>
      </c>
      <c r="M84" s="233">
        <v>10</v>
      </c>
      <c r="N84" s="235" t="s">
        <v>400</v>
      </c>
      <c r="O84" s="25"/>
      <c r="P84" s="25"/>
      <c r="Q84" s="25"/>
      <c r="R84" s="25"/>
      <c r="S84" s="25"/>
      <c r="T84" s="25"/>
    </row>
    <row r="85" spans="1:20">
      <c r="A85" s="25"/>
      <c r="B85" s="231" t="s">
        <v>261</v>
      </c>
      <c r="C85" s="336" t="s">
        <v>388</v>
      </c>
      <c r="D85" s="9" t="s">
        <v>388</v>
      </c>
      <c r="E85" s="233" t="s">
        <v>424</v>
      </c>
      <c r="F85" s="238" t="s">
        <v>392</v>
      </c>
      <c r="G85" s="226" t="s">
        <v>392</v>
      </c>
      <c r="H85" s="7" t="s">
        <v>392</v>
      </c>
      <c r="I85" s="7">
        <v>1</v>
      </c>
      <c r="J85" s="7" t="s">
        <v>392</v>
      </c>
      <c r="K85" s="7" t="s">
        <v>392</v>
      </c>
      <c r="L85" s="7" t="s">
        <v>392</v>
      </c>
      <c r="M85" s="233" t="s">
        <v>392</v>
      </c>
      <c r="N85" s="235" t="s">
        <v>425</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7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election activeCell="B1" sqref="B1"/>
    </sheetView>
  </sheetViews>
  <sheetFormatPr defaultColWidth="2.7109375" defaultRowHeight="15" zeroHeight="1"/>
  <cols>
    <col min="1" max="1" width="25.28515625" customWidth="1"/>
    <col min="2" max="2" width="8.85546875" customWidth="1"/>
    <col min="3" max="3" width="42" customWidth="1"/>
    <col min="4" max="4" width="18.85546875" customWidth="1"/>
    <col min="5" max="5" width="32.42578125" customWidth="1"/>
    <col min="6" max="6" width="19.4257812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42578125" bestFit="1" customWidth="1"/>
    <col min="14" max="14" width="8.85546875" customWidth="1"/>
    <col min="15" max="15" width="33.42578125" bestFit="1" customWidth="1"/>
    <col min="16" max="16" width="8.85546875" customWidth="1"/>
    <col min="17" max="17" width="44" customWidth="1"/>
    <col min="18" max="18" width="8.85546875" customWidth="1"/>
    <col min="19" max="19" width="35.7109375" bestFit="1" customWidth="1"/>
    <col min="20" max="20" width="8.85546875" customWidth="1"/>
    <col min="21" max="21" width="61.42578125"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48.140625" customWidth="1"/>
    <col min="28" max="28" width="17" bestFit="1" customWidth="1"/>
    <col min="29" max="29" width="48.140625" customWidth="1"/>
    <col min="30" max="16380" width="2.7109375" hidden="1" customWidth="1"/>
    <col min="16381" max="16384" width="2.7109375" style="25" customWidth="1"/>
  </cols>
  <sheetData>
    <row r="1" spans="1:29">
      <c r="A1" s="65" t="s">
        <v>426</v>
      </c>
      <c r="B1" s="25"/>
      <c r="C1" s="65" t="s">
        <v>202</v>
      </c>
      <c r="D1" s="25"/>
      <c r="E1" s="65" t="s">
        <v>206</v>
      </c>
      <c r="F1" s="25"/>
      <c r="G1" s="65" t="s">
        <v>427</v>
      </c>
      <c r="H1" s="25"/>
      <c r="I1" s="65" t="s">
        <v>428</v>
      </c>
      <c r="J1" s="25"/>
      <c r="K1" s="65" t="s">
        <v>429</v>
      </c>
      <c r="L1" s="25"/>
      <c r="M1" s="65" t="s">
        <v>210</v>
      </c>
      <c r="N1" s="25"/>
      <c r="O1" s="65" t="s">
        <v>430</v>
      </c>
      <c r="P1" s="25"/>
      <c r="Q1" s="65" t="s">
        <v>212</v>
      </c>
      <c r="R1" s="25"/>
      <c r="S1" s="65" t="s">
        <v>431</v>
      </c>
      <c r="T1" s="25"/>
      <c r="U1" s="65" t="s">
        <v>432</v>
      </c>
      <c r="V1" s="25"/>
      <c r="W1" s="65" t="s">
        <v>433</v>
      </c>
      <c r="X1" s="25"/>
      <c r="Y1" s="65" t="s">
        <v>252</v>
      </c>
      <c r="Z1" s="25"/>
      <c r="AA1" s="65" t="s">
        <v>434</v>
      </c>
      <c r="AB1" s="25"/>
      <c r="AC1" s="65" t="s">
        <v>435</v>
      </c>
    </row>
    <row r="2" spans="1:29">
      <c r="A2" s="64" t="s">
        <v>202</v>
      </c>
      <c r="B2" s="25"/>
      <c r="C2" s="17" t="s">
        <v>296</v>
      </c>
      <c r="D2" s="25"/>
      <c r="E2" s="64" t="s">
        <v>308</v>
      </c>
      <c r="F2" s="25"/>
      <c r="G2" s="64" t="s">
        <v>313</v>
      </c>
      <c r="H2" s="25"/>
      <c r="I2" s="64" t="s">
        <v>365</v>
      </c>
      <c r="J2" s="25"/>
      <c r="K2" s="64" t="s">
        <v>355</v>
      </c>
      <c r="L2" s="25"/>
      <c r="M2" s="64" t="s">
        <v>322</v>
      </c>
      <c r="N2" s="25"/>
      <c r="O2" s="64" t="s">
        <v>326</v>
      </c>
      <c r="P2" s="25"/>
      <c r="Q2" s="64" t="s">
        <v>329</v>
      </c>
      <c r="R2" s="25"/>
      <c r="S2" s="64" t="s">
        <v>351</v>
      </c>
      <c r="T2" s="25"/>
      <c r="U2" s="64" t="s">
        <v>233</v>
      </c>
      <c r="V2" s="25"/>
      <c r="W2" s="64" t="s">
        <v>240</v>
      </c>
      <c r="X2" s="25"/>
      <c r="Y2" s="64" t="s">
        <v>259</v>
      </c>
      <c r="Z2" s="25"/>
      <c r="AA2" s="297" t="s">
        <v>356</v>
      </c>
      <c r="AB2" s="25"/>
      <c r="AC2" s="378" t="s">
        <v>94</v>
      </c>
    </row>
    <row r="3" spans="1:29">
      <c r="A3" s="64" t="s">
        <v>206</v>
      </c>
      <c r="B3" s="25"/>
      <c r="C3" s="17" t="s">
        <v>298</v>
      </c>
      <c r="D3" s="25"/>
      <c r="E3" s="64" t="s">
        <v>309</v>
      </c>
      <c r="F3" s="25"/>
      <c r="G3" s="64" t="s">
        <v>314</v>
      </c>
      <c r="H3" s="25"/>
      <c r="I3" s="64" t="s">
        <v>366</v>
      </c>
      <c r="J3" s="25"/>
      <c r="K3" s="64" t="s">
        <v>357</v>
      </c>
      <c r="L3" s="25"/>
      <c r="M3" s="64" t="s">
        <v>324</v>
      </c>
      <c r="N3" s="25"/>
      <c r="O3" s="66" t="s">
        <v>327</v>
      </c>
      <c r="P3" s="25"/>
      <c r="Q3" s="64" t="s">
        <v>330</v>
      </c>
      <c r="R3" s="25"/>
      <c r="S3" s="64" t="s">
        <v>352</v>
      </c>
      <c r="T3" s="25"/>
      <c r="U3" s="64" t="s">
        <v>234</v>
      </c>
      <c r="V3" s="25"/>
      <c r="W3" s="64" t="s">
        <v>236</v>
      </c>
      <c r="X3" s="25"/>
      <c r="Y3" s="64" t="s">
        <v>261</v>
      </c>
      <c r="Z3" s="25"/>
      <c r="AA3" s="297"/>
      <c r="AB3" s="25"/>
      <c r="AC3" s="297"/>
    </row>
    <row r="4" spans="1:29">
      <c r="A4" s="64" t="s">
        <v>207</v>
      </c>
      <c r="B4" s="25"/>
      <c r="C4" s="17" t="s">
        <v>299</v>
      </c>
      <c r="D4" s="25"/>
      <c r="E4" s="64" t="s">
        <v>310</v>
      </c>
      <c r="F4" s="25"/>
      <c r="G4" s="64" t="s">
        <v>315</v>
      </c>
      <c r="H4" s="25"/>
      <c r="I4" s="64" t="s">
        <v>367</v>
      </c>
      <c r="J4" s="25"/>
      <c r="K4" s="64" t="s">
        <v>358</v>
      </c>
      <c r="L4" s="25"/>
      <c r="M4" s="66" t="s">
        <v>325</v>
      </c>
      <c r="N4" s="25"/>
      <c r="O4" s="297" t="s">
        <v>328</v>
      </c>
      <c r="P4" s="25"/>
      <c r="Q4" s="64" t="s">
        <v>333</v>
      </c>
      <c r="R4" s="25"/>
      <c r="S4" s="64" t="s">
        <v>353</v>
      </c>
      <c r="T4" s="25"/>
      <c r="U4" s="64" t="s">
        <v>235</v>
      </c>
      <c r="V4" s="25"/>
      <c r="W4" s="64" t="s">
        <v>241</v>
      </c>
      <c r="X4" s="25"/>
      <c r="Y4" s="64" t="s">
        <v>260</v>
      </c>
      <c r="Z4" s="25"/>
      <c r="AA4" s="17"/>
      <c r="AB4" s="25"/>
      <c r="AC4" s="17"/>
    </row>
    <row r="5" spans="1:29">
      <c r="A5" s="64" t="s">
        <v>208</v>
      </c>
      <c r="B5" s="25"/>
      <c r="C5" s="17" t="s">
        <v>300</v>
      </c>
      <c r="D5" s="25"/>
      <c r="E5" s="64" t="s">
        <v>311</v>
      </c>
      <c r="F5" s="25"/>
      <c r="G5" s="64" t="s">
        <v>316</v>
      </c>
      <c r="H5" s="25"/>
      <c r="I5" s="17"/>
      <c r="J5" s="25"/>
      <c r="K5" s="64" t="s">
        <v>359</v>
      </c>
      <c r="L5" s="25"/>
      <c r="M5" s="17"/>
      <c r="N5" s="25"/>
      <c r="O5" s="17"/>
      <c r="P5" s="25"/>
      <c r="Q5" s="64" t="s">
        <v>334</v>
      </c>
      <c r="R5" s="25"/>
      <c r="S5" s="64" t="s">
        <v>354</v>
      </c>
      <c r="T5" s="25"/>
      <c r="U5" s="64" t="s">
        <v>239</v>
      </c>
      <c r="V5" s="25"/>
      <c r="W5" s="64" t="s">
        <v>237</v>
      </c>
      <c r="X5" s="25"/>
      <c r="Y5" s="64"/>
      <c r="Z5" s="25"/>
      <c r="AA5" s="17"/>
      <c r="AB5" s="25"/>
      <c r="AC5" s="17"/>
    </row>
    <row r="6" spans="1:29">
      <c r="A6" s="64" t="s">
        <v>209</v>
      </c>
      <c r="B6" s="25"/>
      <c r="C6" s="17" t="s">
        <v>301</v>
      </c>
      <c r="D6" s="25"/>
      <c r="E6" s="66" t="s">
        <v>312</v>
      </c>
      <c r="F6" s="25"/>
      <c r="G6" s="64" t="s">
        <v>317</v>
      </c>
      <c r="H6" s="25"/>
      <c r="I6" s="17"/>
      <c r="J6" s="25"/>
      <c r="K6" s="64" t="s">
        <v>360</v>
      </c>
      <c r="L6" s="25"/>
      <c r="M6" s="17"/>
      <c r="N6" s="25"/>
      <c r="O6" s="17"/>
      <c r="P6" s="25"/>
      <c r="Q6" s="64" t="s">
        <v>335</v>
      </c>
      <c r="R6" s="25"/>
      <c r="S6" s="17"/>
      <c r="T6" s="25"/>
      <c r="U6" s="64" t="s">
        <v>243</v>
      </c>
      <c r="V6" s="25"/>
      <c r="W6" s="17"/>
      <c r="X6" s="25"/>
      <c r="Y6" s="64"/>
      <c r="Z6" s="25"/>
      <c r="AA6" s="17"/>
      <c r="AB6" s="25"/>
      <c r="AC6" s="17"/>
    </row>
    <row r="7" spans="1:29">
      <c r="A7" s="64" t="s">
        <v>210</v>
      </c>
      <c r="B7" s="25"/>
      <c r="C7" s="17" t="s">
        <v>303</v>
      </c>
      <c r="D7" s="25"/>
      <c r="E7" s="17"/>
      <c r="F7" s="25"/>
      <c r="G7" s="64" t="s">
        <v>318</v>
      </c>
      <c r="H7" s="25"/>
      <c r="I7" s="17"/>
      <c r="J7" s="25"/>
      <c r="K7" s="64" t="s">
        <v>361</v>
      </c>
      <c r="L7" s="25"/>
      <c r="M7" s="17"/>
      <c r="N7" s="25"/>
      <c r="O7" s="17"/>
      <c r="P7" s="25"/>
      <c r="Q7" s="64" t="s">
        <v>336</v>
      </c>
      <c r="R7" s="25"/>
      <c r="S7" s="17"/>
      <c r="T7" s="25"/>
      <c r="U7" s="64" t="s">
        <v>240</v>
      </c>
      <c r="V7" s="25"/>
      <c r="W7" s="17"/>
      <c r="X7" s="25"/>
      <c r="Y7" s="64"/>
      <c r="Z7" s="25"/>
      <c r="AA7" s="17"/>
      <c r="AB7" s="25"/>
      <c r="AC7" s="17"/>
    </row>
    <row r="8" spans="1:29">
      <c r="A8" s="64" t="s">
        <v>211</v>
      </c>
      <c r="B8" s="25"/>
      <c r="C8" s="17" t="s">
        <v>304</v>
      </c>
      <c r="D8" s="25"/>
      <c r="E8" s="17"/>
      <c r="F8" s="25"/>
      <c r="G8" s="64" t="s">
        <v>319</v>
      </c>
      <c r="H8" s="25"/>
      <c r="I8" s="17"/>
      <c r="J8" s="25"/>
      <c r="K8" s="66" t="s">
        <v>362</v>
      </c>
      <c r="L8" s="25"/>
      <c r="M8" s="17"/>
      <c r="N8" s="25"/>
      <c r="O8" s="17"/>
      <c r="P8" s="25"/>
      <c r="Q8" s="64" t="s">
        <v>337</v>
      </c>
      <c r="R8" s="25"/>
      <c r="S8" s="17"/>
      <c r="T8" s="25"/>
      <c r="U8" s="64" t="s">
        <v>236</v>
      </c>
      <c r="V8" s="25"/>
      <c r="W8" s="17"/>
      <c r="X8" s="25"/>
      <c r="Y8" s="64"/>
      <c r="Z8" s="25"/>
      <c r="AA8" s="17"/>
      <c r="AB8" s="25"/>
      <c r="AC8" s="17"/>
    </row>
    <row r="9" spans="1:29">
      <c r="A9" s="64" t="s">
        <v>212</v>
      </c>
      <c r="B9" s="25"/>
      <c r="C9" s="17" t="s">
        <v>305</v>
      </c>
      <c r="D9" s="25"/>
      <c r="E9" s="17"/>
      <c r="F9" s="25"/>
      <c r="G9" s="66" t="s">
        <v>320</v>
      </c>
      <c r="H9" s="25"/>
      <c r="I9" s="17"/>
      <c r="J9" s="25"/>
      <c r="K9" s="64" t="s">
        <v>363</v>
      </c>
      <c r="L9" s="25"/>
      <c r="M9" s="17"/>
      <c r="N9" s="25"/>
      <c r="O9" s="17"/>
      <c r="P9" s="25"/>
      <c r="Q9" s="64" t="s">
        <v>342</v>
      </c>
      <c r="R9" s="25"/>
      <c r="S9" s="17"/>
      <c r="T9" s="25"/>
      <c r="U9" s="64" t="s">
        <v>241</v>
      </c>
      <c r="V9" s="25"/>
      <c r="W9" s="17"/>
      <c r="X9" s="25"/>
      <c r="Y9" s="64"/>
      <c r="Z9" s="25"/>
      <c r="AA9" s="17"/>
      <c r="AB9" s="25"/>
      <c r="AC9" s="17"/>
    </row>
    <row r="10" spans="1:29">
      <c r="A10" s="66" t="s">
        <v>213</v>
      </c>
      <c r="B10" s="25"/>
      <c r="C10" s="17" t="s">
        <v>306</v>
      </c>
      <c r="D10" s="25"/>
      <c r="E10" s="17"/>
      <c r="F10" s="25"/>
      <c r="G10" s="66" t="s">
        <v>321</v>
      </c>
      <c r="H10" s="25"/>
      <c r="I10" s="17"/>
      <c r="J10" s="25"/>
      <c r="K10" s="64" t="s">
        <v>364</v>
      </c>
      <c r="L10" s="25"/>
      <c r="M10" s="17"/>
      <c r="N10" s="25"/>
      <c r="O10" s="17"/>
      <c r="P10" s="25"/>
      <c r="Q10" s="64" t="s">
        <v>339</v>
      </c>
      <c r="R10" s="25"/>
      <c r="S10" s="17"/>
      <c r="T10" s="25"/>
      <c r="U10" s="66" t="s">
        <v>237</v>
      </c>
      <c r="V10" s="25"/>
      <c r="W10" s="17"/>
      <c r="X10" s="25"/>
      <c r="Y10" s="64"/>
      <c r="Z10" s="25"/>
      <c r="AA10" s="17"/>
      <c r="AB10" s="25"/>
      <c r="AC10" s="17"/>
    </row>
    <row r="11" spans="1:29">
      <c r="A11" s="132" t="s">
        <v>214</v>
      </c>
      <c r="B11" s="25"/>
      <c r="C11" s="17" t="s">
        <v>307</v>
      </c>
      <c r="D11" s="25"/>
      <c r="E11" s="17"/>
      <c r="F11" s="25"/>
      <c r="G11" s="17"/>
      <c r="H11" s="25"/>
      <c r="I11" s="17"/>
      <c r="J11" s="25"/>
      <c r="K11" s="17"/>
      <c r="L11" s="25"/>
      <c r="M11" s="17"/>
      <c r="N11" s="25"/>
      <c r="O11" s="17"/>
      <c r="P11" s="25"/>
      <c r="Q11" s="64" t="s">
        <v>340</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341</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338</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343</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344</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345</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346</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347</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348</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349</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350</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368</v>
      </c>
      <c r="B28" s="25"/>
      <c r="C28" s="50" t="s">
        <v>436</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368</v>
      </c>
      <c r="B29" s="25"/>
      <c r="C29" s="9" t="s">
        <v>226</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49" t="s">
        <v>437</v>
      </c>
      <c r="K33" s="1049"/>
      <c r="L33" s="25"/>
      <c r="M33" s="25"/>
      <c r="N33" s="25"/>
      <c r="O33" s="25"/>
      <c r="P33" s="25"/>
      <c r="Q33" s="25"/>
      <c r="R33" s="25"/>
      <c r="S33" s="25"/>
      <c r="T33" s="25"/>
      <c r="U33" s="25"/>
      <c r="V33" s="25"/>
      <c r="W33" s="25"/>
      <c r="X33" s="25"/>
      <c r="Y33" s="25"/>
      <c r="Z33" s="25"/>
      <c r="AA33" s="25"/>
      <c r="AB33" s="25"/>
      <c r="AC33" s="25"/>
    </row>
    <row r="34" spans="1:29">
      <c r="A34" s="25"/>
      <c r="B34" s="1046" t="s">
        <v>295</v>
      </c>
      <c r="C34" s="1047"/>
      <c r="D34" s="1048"/>
      <c r="E34" s="25"/>
      <c r="F34" s="1046" t="s">
        <v>438</v>
      </c>
      <c r="G34" s="1047"/>
      <c r="H34" s="1048"/>
      <c r="I34" s="25"/>
      <c r="J34" s="50" t="s">
        <v>439</v>
      </c>
      <c r="K34" s="50" t="s">
        <v>440</v>
      </c>
      <c r="L34" s="25"/>
      <c r="M34" s="1052" t="s">
        <v>441</v>
      </c>
      <c r="N34" s="1052"/>
      <c r="O34" s="25"/>
      <c r="P34" s="25"/>
      <c r="Q34" s="1050" t="s">
        <v>442</v>
      </c>
      <c r="R34" s="1050"/>
      <c r="S34" s="1050"/>
      <c r="T34" s="1050"/>
      <c r="U34" s="25"/>
      <c r="V34" s="25"/>
      <c r="W34" s="25"/>
      <c r="X34" s="25"/>
      <c r="Y34" s="25"/>
      <c r="Z34" s="25"/>
      <c r="AA34" s="25"/>
      <c r="AB34" s="25"/>
      <c r="AC34" s="25"/>
    </row>
    <row r="35" spans="1:29">
      <c r="A35" s="25"/>
      <c r="B35" s="49" t="s">
        <v>86</v>
      </c>
      <c r="C35" s="50" t="s">
        <v>443</v>
      </c>
      <c r="D35" s="50" t="s">
        <v>444</v>
      </c>
      <c r="E35" s="25"/>
      <c r="F35" s="50" t="s">
        <v>443</v>
      </c>
      <c r="G35" s="49" t="s">
        <v>445</v>
      </c>
      <c r="H35" s="50" t="s">
        <v>446</v>
      </c>
      <c r="I35" s="25"/>
      <c r="J35" s="9" t="s">
        <v>203</v>
      </c>
      <c r="K35" s="7">
        <v>1</v>
      </c>
      <c r="L35" s="25"/>
      <c r="M35" s="50" t="s">
        <v>447</v>
      </c>
      <c r="N35" s="50" t="s">
        <v>446</v>
      </c>
      <c r="O35" s="25"/>
      <c r="P35" s="25"/>
      <c r="Q35" s="50" t="s">
        <v>448</v>
      </c>
      <c r="R35" s="50" t="s">
        <v>449</v>
      </c>
      <c r="S35" s="50" t="s">
        <v>450</v>
      </c>
      <c r="T35" s="50" t="s">
        <v>451</v>
      </c>
      <c r="U35" s="25"/>
      <c r="V35" s="25"/>
      <c r="W35" s="236" t="s">
        <v>452</v>
      </c>
      <c r="X35" s="237" t="s">
        <v>453</v>
      </c>
      <c r="Y35" s="25"/>
      <c r="Z35" s="25"/>
      <c r="AA35" s="25"/>
      <c r="AB35" s="25"/>
      <c r="AC35" s="25"/>
    </row>
    <row r="36" spans="1:29" ht="43.5" customHeight="1">
      <c r="A36" s="25"/>
      <c r="B36" s="9" t="s">
        <v>323</v>
      </c>
      <c r="C36" s="9" t="s">
        <v>454</v>
      </c>
      <c r="D36" s="7">
        <v>1.1499999999999999</v>
      </c>
      <c r="E36" s="25"/>
      <c r="F36" s="9" t="s">
        <v>95</v>
      </c>
      <c r="G36" s="9" t="s">
        <v>455</v>
      </c>
      <c r="H36" s="7">
        <v>1.1499999999999999</v>
      </c>
      <c r="I36" s="25"/>
      <c r="J36" s="9" t="s">
        <v>205</v>
      </c>
      <c r="K36" s="7">
        <v>0.67</v>
      </c>
      <c r="L36" s="25"/>
      <c r="M36" s="15" t="s">
        <v>456</v>
      </c>
      <c r="N36" s="15">
        <v>1</v>
      </c>
      <c r="O36" s="25"/>
      <c r="P36" s="25"/>
      <c r="Q36" s="7" t="s">
        <v>457</v>
      </c>
      <c r="R36" s="7">
        <v>0.3</v>
      </c>
      <c r="S36" s="7">
        <f>R36*12</f>
        <v>3.5999999999999996</v>
      </c>
      <c r="T36" s="10">
        <f>3.14*(S36*S36)/10000</f>
        <v>4.0694399999999997E-3</v>
      </c>
      <c r="U36" s="25"/>
      <c r="V36" s="25"/>
      <c r="W36" s="17" t="s">
        <v>458</v>
      </c>
      <c r="X36" s="17" t="s">
        <v>459</v>
      </c>
      <c r="Y36" s="25"/>
      <c r="Z36" s="25"/>
      <c r="AA36" s="25"/>
      <c r="AB36" s="25"/>
      <c r="AC36" s="25"/>
    </row>
    <row r="37" spans="1:29" ht="55.5" customHeight="1">
      <c r="A37" s="25"/>
      <c r="B37" s="9" t="s">
        <v>205</v>
      </c>
      <c r="C37" s="9" t="s">
        <v>460</v>
      </c>
      <c r="D37" s="7">
        <v>1.1000000000000001</v>
      </c>
      <c r="E37" s="25"/>
      <c r="F37" s="9" t="s">
        <v>115</v>
      </c>
      <c r="G37" s="9" t="s">
        <v>461</v>
      </c>
      <c r="H37" s="7">
        <v>1</v>
      </c>
      <c r="I37" s="25"/>
      <c r="J37" s="9" t="s">
        <v>323</v>
      </c>
      <c r="K37" s="7">
        <v>0.33</v>
      </c>
      <c r="L37" s="25"/>
      <c r="M37" s="15" t="s">
        <v>462</v>
      </c>
      <c r="N37" s="15">
        <v>0.75</v>
      </c>
      <c r="O37" s="25"/>
      <c r="P37" s="25"/>
      <c r="Q37" s="7" t="s">
        <v>205</v>
      </c>
      <c r="R37" s="7">
        <v>0.9</v>
      </c>
      <c r="S37" s="7">
        <f>R37*12</f>
        <v>10.8</v>
      </c>
      <c r="T37" s="10">
        <f>3.14*(S37*S37)/10000</f>
        <v>3.6624960000000005E-2</v>
      </c>
      <c r="U37" s="25"/>
      <c r="V37" s="25"/>
      <c r="W37" s="17" t="s">
        <v>463</v>
      </c>
      <c r="X37" s="17" t="s">
        <v>464</v>
      </c>
      <c r="Y37" s="25"/>
      <c r="Z37" s="25"/>
      <c r="AA37" s="25"/>
      <c r="AB37" s="25"/>
      <c r="AC37" s="25"/>
    </row>
    <row r="38" spans="1:29" ht="30">
      <c r="A38" s="25"/>
      <c r="B38" s="16" t="s">
        <v>203</v>
      </c>
      <c r="C38" s="9" t="s">
        <v>465</v>
      </c>
      <c r="D38" s="7">
        <v>1</v>
      </c>
      <c r="E38" s="25"/>
      <c r="F38" s="9"/>
      <c r="G38" s="9"/>
      <c r="H38" s="7"/>
      <c r="I38" s="25"/>
      <c r="J38" s="9" t="s">
        <v>466</v>
      </c>
      <c r="K38" s="7">
        <v>0.1</v>
      </c>
      <c r="L38" s="25"/>
      <c r="M38" s="15" t="s">
        <v>467</v>
      </c>
      <c r="N38" s="15">
        <v>0.5</v>
      </c>
      <c r="O38" s="25"/>
      <c r="P38" s="25"/>
      <c r="Q38" s="7" t="s">
        <v>468</v>
      </c>
      <c r="R38" s="7">
        <v>1.3</v>
      </c>
      <c r="S38" s="7">
        <f>R38*12</f>
        <v>15.600000000000001</v>
      </c>
      <c r="T38" s="10">
        <f>3.14*(S38*S38)/10000</f>
        <v>7.6415040000000017E-2</v>
      </c>
      <c r="U38" s="25"/>
      <c r="V38" s="25"/>
      <c r="W38" s="17" t="s">
        <v>469</v>
      </c>
      <c r="X38" s="17" t="s">
        <v>470</v>
      </c>
      <c r="Y38" s="25"/>
      <c r="Z38" s="25"/>
      <c r="AA38" s="25"/>
      <c r="AB38" s="25"/>
      <c r="AC38" s="25"/>
    </row>
    <row r="39" spans="1:29">
      <c r="A39" s="25"/>
      <c r="B39" s="16" t="s">
        <v>371</v>
      </c>
      <c r="C39" s="9" t="s">
        <v>471</v>
      </c>
      <c r="D39" s="7">
        <v>1</v>
      </c>
      <c r="E39" s="25"/>
      <c r="F39" s="25"/>
      <c r="G39" s="25"/>
      <c r="H39" s="25"/>
      <c r="I39" s="25"/>
      <c r="J39" s="25"/>
      <c r="K39" s="25"/>
      <c r="L39" s="25"/>
      <c r="M39" s="25"/>
      <c r="N39" s="25"/>
      <c r="O39" s="25"/>
      <c r="P39" s="25"/>
      <c r="Q39" s="25"/>
      <c r="R39" s="25"/>
      <c r="S39" s="25"/>
      <c r="T39" s="25"/>
      <c r="U39" s="25"/>
      <c r="V39" s="25"/>
      <c r="W39" s="17" t="s">
        <v>472</v>
      </c>
      <c r="X39" s="17" t="s">
        <v>473</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474</v>
      </c>
      <c r="X40" s="17" t="s">
        <v>475</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476</v>
      </c>
      <c r="X41" s="17" t="s">
        <v>498</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477</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478</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479</v>
      </c>
      <c r="X44" s="17"/>
      <c r="Y44" s="25"/>
      <c r="Z44" s="25"/>
      <c r="AA44" s="25"/>
      <c r="AB44" s="25"/>
      <c r="AC44" s="25"/>
    </row>
    <row r="45" spans="1:29" ht="28.5" customHeight="1">
      <c r="A45" s="25"/>
      <c r="B45" s="938" t="s">
        <v>480</v>
      </c>
      <c r="C45" s="1044"/>
      <c r="D45" s="1045"/>
      <c r="E45" s="25"/>
      <c r="F45" s="938" t="s">
        <v>481</v>
      </c>
      <c r="G45" s="1045"/>
      <c r="H45" s="25"/>
      <c r="I45" s="1051" t="s">
        <v>482</v>
      </c>
      <c r="J45" s="1051"/>
      <c r="K45" s="1051"/>
      <c r="L45" s="25"/>
      <c r="M45" s="1050" t="s">
        <v>93</v>
      </c>
      <c r="N45" s="1050"/>
      <c r="O45" s="1050"/>
      <c r="P45" s="1050"/>
      <c r="Q45" s="25"/>
      <c r="R45" s="25"/>
      <c r="S45" s="938" t="s">
        <v>483</v>
      </c>
      <c r="T45" s="1044"/>
      <c r="U45" s="1045"/>
      <c r="V45" s="25"/>
      <c r="W45" s="17" t="s">
        <v>484</v>
      </c>
      <c r="X45" s="17"/>
      <c r="Y45" s="25"/>
      <c r="Z45" s="25"/>
      <c r="AA45" s="25"/>
      <c r="AB45" s="25"/>
      <c r="AC45" s="25"/>
    </row>
    <row r="46" spans="1:29" ht="45">
      <c r="A46" s="25"/>
      <c r="B46" s="49" t="s">
        <v>485</v>
      </c>
      <c r="C46" s="49" t="s">
        <v>486</v>
      </c>
      <c r="D46" s="49" t="s">
        <v>487</v>
      </c>
      <c r="E46" s="25"/>
      <c r="F46" s="49" t="s">
        <v>488</v>
      </c>
      <c r="G46" s="49" t="s">
        <v>489</v>
      </c>
      <c r="H46" s="25"/>
      <c r="I46" s="49" t="s">
        <v>490</v>
      </c>
      <c r="J46" s="49" t="s">
        <v>491</v>
      </c>
      <c r="K46" s="49" t="s">
        <v>492</v>
      </c>
      <c r="L46" s="25"/>
      <c r="M46" s="50" t="s">
        <v>448</v>
      </c>
      <c r="N46" s="50" t="s">
        <v>449</v>
      </c>
      <c r="O46" s="50" t="s">
        <v>450</v>
      </c>
      <c r="P46" s="50" t="s">
        <v>493</v>
      </c>
      <c r="Q46" s="25"/>
      <c r="R46" s="25"/>
      <c r="S46" s="49" t="s">
        <v>485</v>
      </c>
      <c r="T46" s="49" t="s">
        <v>486</v>
      </c>
      <c r="U46" s="49" t="s">
        <v>487</v>
      </c>
      <c r="V46" s="25"/>
      <c r="W46" s="17" t="s">
        <v>494</v>
      </c>
      <c r="X46" s="17"/>
      <c r="Y46" s="25"/>
      <c r="Z46" s="25"/>
      <c r="AA46" s="25"/>
      <c r="AB46" s="25"/>
      <c r="AC46" s="25"/>
    </row>
    <row r="47" spans="1:29" ht="60">
      <c r="A47" s="25"/>
      <c r="B47" s="7" t="s">
        <v>205</v>
      </c>
      <c r="C47" s="7">
        <v>4</v>
      </c>
      <c r="D47" s="21" t="s">
        <v>297</v>
      </c>
      <c r="E47" s="25"/>
      <c r="F47" s="7" t="s">
        <v>387</v>
      </c>
      <c r="G47" s="7">
        <v>3</v>
      </c>
      <c r="H47" s="25"/>
      <c r="I47" s="23">
        <v>0</v>
      </c>
      <c r="J47" s="23">
        <v>100</v>
      </c>
      <c r="K47" s="24">
        <v>1</v>
      </c>
      <c r="L47" s="25"/>
      <c r="M47" s="7" t="s">
        <v>457</v>
      </c>
      <c r="N47" s="7">
        <v>0.3</v>
      </c>
      <c r="O47" s="7">
        <f>N47*12</f>
        <v>3.5999999999999996</v>
      </c>
      <c r="P47" s="10">
        <f>3.14*(O47*O47)</f>
        <v>40.694399999999995</v>
      </c>
      <c r="Q47" s="25"/>
      <c r="R47" s="25"/>
      <c r="S47" s="7" t="s">
        <v>205</v>
      </c>
      <c r="T47" s="7">
        <v>4</v>
      </c>
      <c r="U47" s="9" t="s">
        <v>297</v>
      </c>
      <c r="V47" s="25"/>
      <c r="W47" s="17" t="s">
        <v>495</v>
      </c>
      <c r="X47" s="17"/>
      <c r="Y47" s="25"/>
      <c r="Z47" s="25"/>
      <c r="AA47" s="25"/>
      <c r="AB47" s="25"/>
      <c r="AC47" s="25"/>
    </row>
    <row r="48" spans="1:29" ht="60">
      <c r="A48" s="25"/>
      <c r="B48" s="7" t="s">
        <v>203</v>
      </c>
      <c r="C48" s="7">
        <v>2</v>
      </c>
      <c r="D48" s="21" t="s">
        <v>302</v>
      </c>
      <c r="E48" s="25"/>
      <c r="F48" s="7" t="s">
        <v>114</v>
      </c>
      <c r="G48" s="7">
        <v>2</v>
      </c>
      <c r="H48" s="25"/>
      <c r="I48" s="23">
        <v>1</v>
      </c>
      <c r="J48" s="23">
        <v>96.5</v>
      </c>
      <c r="K48" s="24">
        <v>0.96499999999999997</v>
      </c>
      <c r="L48" s="25"/>
      <c r="M48" s="7" t="s">
        <v>205</v>
      </c>
      <c r="N48" s="7">
        <v>0.6</v>
      </c>
      <c r="O48" s="7">
        <v>7.2</v>
      </c>
      <c r="P48" s="10">
        <f>3.14*(O48*O48)</f>
        <v>162.77760000000001</v>
      </c>
      <c r="Q48" s="25"/>
      <c r="R48" s="25"/>
      <c r="S48" s="7" t="s">
        <v>203</v>
      </c>
      <c r="T48" s="7">
        <v>2</v>
      </c>
      <c r="U48" s="9" t="s">
        <v>302</v>
      </c>
      <c r="V48" s="25"/>
      <c r="W48" s="17" t="s">
        <v>496</v>
      </c>
      <c r="X48" s="17"/>
      <c r="Y48" s="25"/>
      <c r="Z48" s="25"/>
      <c r="AA48" s="25"/>
      <c r="AB48" s="25"/>
      <c r="AC48" s="25"/>
    </row>
    <row r="49" spans="1:29" ht="30">
      <c r="A49" s="25"/>
      <c r="B49" s="7" t="s">
        <v>331</v>
      </c>
      <c r="C49" s="7">
        <v>0</v>
      </c>
      <c r="D49" s="21" t="s">
        <v>332</v>
      </c>
      <c r="E49" s="25"/>
      <c r="F49" s="9" t="s">
        <v>388</v>
      </c>
      <c r="G49" s="7">
        <v>1</v>
      </c>
      <c r="H49" s="25"/>
      <c r="I49" s="23">
        <v>2</v>
      </c>
      <c r="J49" s="23">
        <v>93.122500000000002</v>
      </c>
      <c r="K49" s="24">
        <v>0.93122499999999997</v>
      </c>
      <c r="L49" s="25"/>
      <c r="M49" s="7" t="s">
        <v>468</v>
      </c>
      <c r="N49" s="7">
        <v>0.9</v>
      </c>
      <c r="O49" s="7">
        <v>10.8</v>
      </c>
      <c r="P49" s="10">
        <f>3.14*(O49*O49)</f>
        <v>366.24960000000004</v>
      </c>
      <c r="Q49" s="25"/>
      <c r="R49" s="25"/>
      <c r="S49" s="7" t="s">
        <v>331</v>
      </c>
      <c r="T49" s="7">
        <v>1</v>
      </c>
      <c r="U49" s="9" t="s">
        <v>332</v>
      </c>
      <c r="V49" s="25"/>
      <c r="W49" s="17" t="s">
        <v>497</v>
      </c>
      <c r="X49" s="17"/>
      <c r="Y49" s="25"/>
      <c r="Z49" s="25"/>
      <c r="AA49" s="25"/>
      <c r="AB49" s="25"/>
      <c r="AC49" s="25"/>
    </row>
    <row r="50" spans="1:29" ht="60">
      <c r="A50" s="25"/>
      <c r="B50" s="7" t="s">
        <v>323</v>
      </c>
      <c r="C50" s="7">
        <v>6</v>
      </c>
      <c r="D50" s="21" t="s">
        <v>297</v>
      </c>
      <c r="E50" s="25"/>
      <c r="F50" s="9" t="s">
        <v>389</v>
      </c>
      <c r="G50" s="7">
        <v>1</v>
      </c>
      <c r="H50" s="25"/>
      <c r="I50" s="23">
        <v>3</v>
      </c>
      <c r="J50" s="23">
        <v>89.863212500000003</v>
      </c>
      <c r="K50" s="24">
        <v>0.898632125</v>
      </c>
      <c r="L50" s="25"/>
      <c r="M50" s="7" t="s">
        <v>499</v>
      </c>
      <c r="N50" s="7">
        <v>1.3</v>
      </c>
      <c r="O50" s="7">
        <v>15.6</v>
      </c>
      <c r="P50" s="10">
        <f>3.14*(O50*O50)</f>
        <v>764.15039999999999</v>
      </c>
      <c r="Q50" s="25"/>
      <c r="R50" s="25"/>
      <c r="S50" s="7" t="s">
        <v>323</v>
      </c>
      <c r="T50" s="7">
        <v>6</v>
      </c>
      <c r="U50" s="9" t="s">
        <v>297</v>
      </c>
      <c r="V50" s="25"/>
      <c r="W50" s="17" t="s">
        <v>500</v>
      </c>
      <c r="X50" s="17"/>
      <c r="Y50" s="25"/>
      <c r="Z50" s="25"/>
      <c r="AA50" s="25"/>
      <c r="AB50" s="25"/>
      <c r="AC50" s="25"/>
    </row>
    <row r="51" spans="1:29">
      <c r="A51" s="25"/>
      <c r="B51" s="25"/>
      <c r="C51" s="25"/>
      <c r="D51" s="25"/>
      <c r="E51" s="25"/>
      <c r="F51" s="7" t="s">
        <v>390</v>
      </c>
      <c r="G51" s="7">
        <v>0</v>
      </c>
      <c r="H51" s="25"/>
      <c r="I51" s="23">
        <v>4</v>
      </c>
      <c r="J51" s="23">
        <v>86.718000059999994</v>
      </c>
      <c r="K51" s="24">
        <v>0.86718000059999989</v>
      </c>
      <c r="L51" s="25"/>
      <c r="M51" s="25"/>
      <c r="N51" s="25"/>
      <c r="O51" s="25"/>
      <c r="P51" s="25"/>
      <c r="Q51" s="25"/>
      <c r="R51" s="25"/>
      <c r="S51" s="25"/>
      <c r="T51" s="25"/>
      <c r="U51" s="25"/>
      <c r="V51" s="25"/>
      <c r="W51" s="17" t="s">
        <v>501</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502</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503</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504</v>
      </c>
      <c r="X54" s="17"/>
      <c r="Y54" s="25"/>
      <c r="Z54" s="25"/>
      <c r="AA54" s="25"/>
      <c r="AB54" s="25"/>
      <c r="AC54" s="25"/>
    </row>
    <row r="55" spans="1:29" ht="14.4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505</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506</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507</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508</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509</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510</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511</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512</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513</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514</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515</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516</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517</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518</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519</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520</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521</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522</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523</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524</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525</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526</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527</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528</v>
      </c>
      <c r="X78" s="17"/>
      <c r="Y78" s="25"/>
      <c r="Z78" s="25"/>
      <c r="AA78" s="25"/>
      <c r="AB78" s="25"/>
      <c r="AC78" s="25"/>
    </row>
    <row r="79" spans="1:29">
      <c r="A79" s="25"/>
      <c r="B79" s="25"/>
      <c r="C79" s="25"/>
      <c r="D79" s="25"/>
      <c r="E79" s="25"/>
      <c r="F79" s="25"/>
      <c r="G79" s="25"/>
      <c r="H79" s="25"/>
      <c r="I79" s="23" t="s">
        <v>409</v>
      </c>
      <c r="J79" s="19">
        <v>31.979673609999999</v>
      </c>
      <c r="K79" s="24">
        <v>0.31979673609999998</v>
      </c>
      <c r="L79" s="25"/>
      <c r="M79" s="25"/>
      <c r="N79" s="25"/>
      <c r="O79" s="25"/>
      <c r="P79" s="25"/>
      <c r="Q79" s="25"/>
      <c r="R79" s="25"/>
      <c r="S79" s="25"/>
      <c r="T79" s="25"/>
      <c r="U79" s="25"/>
      <c r="V79" s="25"/>
      <c r="W79" s="17" t="s">
        <v>529</v>
      </c>
      <c r="X79" s="17"/>
      <c r="Y79" s="25"/>
      <c r="Z79" s="25"/>
      <c r="AA79" s="25"/>
      <c r="AB79" s="25"/>
      <c r="AC79" s="25"/>
    </row>
    <row r="80" spans="1:29">
      <c r="A80" s="25"/>
      <c r="B80" s="25"/>
      <c r="C80" s="25"/>
      <c r="D80" s="25"/>
      <c r="E80" s="25"/>
      <c r="F80" s="25"/>
      <c r="G80" s="25"/>
      <c r="H80" s="25"/>
      <c r="I80" s="9" t="s">
        <v>392</v>
      </c>
      <c r="J80" s="9" t="s">
        <v>371</v>
      </c>
      <c r="K80" s="9" t="s">
        <v>371</v>
      </c>
      <c r="L80" s="25"/>
      <c r="M80" s="25"/>
      <c r="N80" s="25"/>
      <c r="O80" s="25"/>
      <c r="P80" s="25"/>
      <c r="Q80" s="25"/>
      <c r="R80" s="25"/>
      <c r="S80" s="25"/>
      <c r="T80" s="25"/>
      <c r="U80" s="25"/>
      <c r="V80" s="25"/>
      <c r="W80" s="17" t="s">
        <v>530</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531</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532</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533</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534</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535</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536</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537</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538</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539</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540</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541</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542</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543</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544</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545</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546</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547</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548</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549</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550</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551</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552</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553</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554</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555</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556</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557</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558</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559</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560</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561</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562</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563</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564</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565</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566</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567</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568</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569</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570</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571</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572</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573</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574</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575</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576</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577</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578</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579</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580</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581</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582</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583</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584</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585</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586</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587</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588</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589</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590</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591</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592</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593</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594</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595</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596</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597</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598</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599</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600</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601</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602</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603</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604</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605</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606</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607</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608</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609</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610</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611</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612</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613</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614</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615</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616</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617</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618</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619</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620</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621</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622</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623</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624</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625</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626</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627</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628</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629</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630</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631</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632</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633</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634</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635</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636</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637</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638</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639</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640</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641</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642</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643</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644</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645</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646</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647</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648</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649</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650</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651</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652</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653</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654</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655</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656</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657</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658</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659</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660</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661</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662</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663</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664</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665</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666</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667</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668</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669</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670</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671</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672</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673</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674</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675</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676</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677</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678</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679</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680</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681</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682</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683</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684</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685</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686</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687</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688</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689</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690</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691</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692</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693</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694</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695</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696</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697</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698</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699</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700</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701</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702</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703</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704</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705</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706</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707</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708</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709</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710</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711</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712</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713</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714</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715</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716</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717</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718</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719</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720</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721</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722</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723</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724</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725</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726</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727</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728</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729</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730</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731</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732</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733</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734</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735</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736</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737</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738</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739</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740</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741</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742</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743</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744</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745</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746</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747</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748</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749</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750</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751</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752</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753</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754</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755</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756</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757</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758</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759</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760</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761</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762</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763</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764</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765</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766</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767</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768</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769</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770</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771</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772</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773</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774</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775</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776</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777</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778</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779</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780</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781</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782</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783</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784</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785</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786</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787</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788</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789</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790</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791</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792</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793</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794</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795</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796</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797</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798</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799</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800</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801</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802</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803</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804</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805</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806</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807</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808</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809</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810</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811</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812</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813</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814</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815</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816</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817</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818</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819</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820</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821</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822</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823</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824</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825</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826</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827</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828</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829</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830</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831</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832</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833</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834</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835</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836</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837</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838</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839</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840</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841</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842</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843</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844</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845</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846</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847</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848</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849</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850</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851</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852</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853</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854</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855</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856</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857</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858</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859</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860</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861</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862</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9"/>
  <sheetViews>
    <sheetView topLeftCell="B1" workbookViewId="0">
      <selection activeCell="B1" sqref="B1"/>
    </sheetView>
  </sheetViews>
  <sheetFormatPr defaultColWidth="9.140625" defaultRowHeight="15"/>
  <cols>
    <col min="1" max="2" width="9.140625" style="25"/>
    <col min="3" max="3" width="34.140625" style="25" customWidth="1"/>
    <col min="4" max="4" width="45.42578125" style="25" customWidth="1"/>
    <col min="5" max="5" width="38.7109375" style="25" customWidth="1"/>
    <col min="6" max="16384" width="9.140625" style="25"/>
  </cols>
  <sheetData>
    <row r="2" spans="3:5" ht="15.75" thickBot="1"/>
    <row r="3" spans="3:5">
      <c r="C3" s="1053" t="s">
        <v>1020</v>
      </c>
      <c r="D3" s="817"/>
      <c r="E3" s="685"/>
    </row>
    <row r="4" spans="3:5">
      <c r="C4" s="91" t="s">
        <v>1019</v>
      </c>
      <c r="D4" s="49" t="s">
        <v>1021</v>
      </c>
      <c r="E4" s="92" t="s">
        <v>1022</v>
      </c>
    </row>
    <row r="5" spans="3:5">
      <c r="C5" s="226" t="s">
        <v>1018</v>
      </c>
      <c r="D5" s="7" t="s">
        <v>1023</v>
      </c>
      <c r="E5" s="233" t="s">
        <v>1024</v>
      </c>
    </row>
    <row r="6" spans="3:5" ht="30">
      <c r="C6" s="226" t="s">
        <v>1025</v>
      </c>
      <c r="D6" s="9" t="s">
        <v>1040</v>
      </c>
      <c r="E6" s="233" t="s">
        <v>1026</v>
      </c>
    </row>
    <row r="7" spans="3:5" ht="30">
      <c r="C7" s="226" t="s">
        <v>1027</v>
      </c>
      <c r="D7" s="9" t="s">
        <v>1028</v>
      </c>
      <c r="E7" s="233" t="s">
        <v>1029</v>
      </c>
    </row>
    <row r="8" spans="3:5" ht="105.75" thickBot="1">
      <c r="C8" s="228" t="s">
        <v>1030</v>
      </c>
      <c r="D8" s="242" t="s">
        <v>1041</v>
      </c>
      <c r="E8" s="565" t="s">
        <v>1043</v>
      </c>
    </row>
    <row r="9" spans="3:5" ht="30.75" thickBot="1">
      <c r="C9" s="228" t="s">
        <v>1044</v>
      </c>
      <c r="D9" s="242" t="s">
        <v>1045</v>
      </c>
      <c r="E9" s="565" t="s">
        <v>1047</v>
      </c>
    </row>
  </sheetData>
  <sheetProtection algorithmName="SHA-512" hashValue="h7EAyTGcJW4x85LyhDw8hSw4yB6SKfXvLTQfLsF3uUpRUWt7B+en9dC1ftN3jZRLbS+BDBVD7O9u9vUdhG7uCA==" saltValue="/GbdPGqcowRRPsuePv7mDQ=="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5" zeroHeight="1"/>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c r="A1" s="60"/>
      <c r="B1" s="60"/>
      <c r="C1" s="60"/>
      <c r="D1" s="60"/>
      <c r="E1" s="60"/>
      <c r="F1" s="60"/>
      <c r="G1" s="60"/>
      <c r="H1" s="60"/>
    </row>
    <row r="2" spans="1:8" ht="19.350000000000001" customHeight="1" thickBot="1">
      <c r="A2" s="25"/>
      <c r="B2" s="252" t="s">
        <v>863</v>
      </c>
      <c r="C2" s="253" t="s">
        <v>864</v>
      </c>
      <c r="D2" s="253" t="s">
        <v>865</v>
      </c>
      <c r="E2" s="254" t="s">
        <v>866</v>
      </c>
      <c r="F2" s="255" t="s">
        <v>85</v>
      </c>
      <c r="G2" s="60"/>
      <c r="H2" s="60"/>
    </row>
    <row r="3" spans="1:8" ht="21.75" customHeight="1" thickBot="1">
      <c r="A3" s="25"/>
      <c r="B3" s="248" t="s">
        <v>867</v>
      </c>
      <c r="C3" s="256" t="s">
        <v>868</v>
      </c>
      <c r="D3" s="256" t="s">
        <v>869</v>
      </c>
      <c r="E3" s="249" t="s">
        <v>870</v>
      </c>
      <c r="F3" s="250" t="s">
        <v>205</v>
      </c>
      <c r="G3" s="25"/>
      <c r="H3" s="25"/>
    </row>
    <row r="4" spans="1:8">
      <c r="A4" s="25"/>
      <c r="B4" s="1054" t="s">
        <v>202</v>
      </c>
      <c r="C4" s="1057" t="s">
        <v>202</v>
      </c>
      <c r="D4" s="257" t="s">
        <v>871</v>
      </c>
      <c r="E4" s="239" t="s">
        <v>301</v>
      </c>
      <c r="F4" s="240" t="s">
        <v>203</v>
      </c>
      <c r="G4" s="25"/>
      <c r="H4" s="25"/>
    </row>
    <row r="5" spans="1:8">
      <c r="A5" s="25"/>
      <c r="B5" s="1055"/>
      <c r="C5" s="1058"/>
      <c r="D5" s="7" t="s">
        <v>872</v>
      </c>
      <c r="E5" s="9" t="s">
        <v>873</v>
      </c>
      <c r="F5" s="241" t="s">
        <v>203</v>
      </c>
      <c r="G5" s="25"/>
      <c r="H5" s="25"/>
    </row>
    <row r="6" spans="1:8">
      <c r="A6" s="25"/>
      <c r="B6" s="1055"/>
      <c r="C6" s="1058"/>
      <c r="D6" s="7" t="s">
        <v>874</v>
      </c>
      <c r="E6" s="9" t="s">
        <v>306</v>
      </c>
      <c r="F6" s="241" t="s">
        <v>203</v>
      </c>
      <c r="G6" s="25"/>
      <c r="H6" s="25"/>
    </row>
    <row r="7" spans="1:8">
      <c r="A7" s="25"/>
      <c r="B7" s="1055"/>
      <c r="C7" s="1058"/>
      <c r="D7" s="7" t="s">
        <v>875</v>
      </c>
      <c r="E7" s="9" t="s">
        <v>307</v>
      </c>
      <c r="F7" s="241" t="s">
        <v>203</v>
      </c>
      <c r="G7" s="25"/>
      <c r="H7" s="25"/>
    </row>
    <row r="8" spans="1:8">
      <c r="A8" s="25"/>
      <c r="B8" s="1055"/>
      <c r="C8" s="1058" t="s">
        <v>876</v>
      </c>
      <c r="D8" s="7" t="s">
        <v>877</v>
      </c>
      <c r="E8" s="9" t="s">
        <v>296</v>
      </c>
      <c r="F8" s="245" t="s">
        <v>205</v>
      </c>
      <c r="G8" s="25"/>
      <c r="H8" s="25"/>
    </row>
    <row r="9" spans="1:8">
      <c r="A9" s="25"/>
      <c r="B9" s="1055"/>
      <c r="C9" s="1058"/>
      <c r="D9" s="7" t="s">
        <v>878</v>
      </c>
      <c r="E9" s="9" t="s">
        <v>298</v>
      </c>
      <c r="F9" s="245" t="s">
        <v>205</v>
      </c>
      <c r="G9" s="25"/>
      <c r="H9" s="25"/>
    </row>
    <row r="10" spans="1:8">
      <c r="A10" s="25"/>
      <c r="B10" s="1055"/>
      <c r="C10" s="1058"/>
      <c r="D10" s="7" t="s">
        <v>879</v>
      </c>
      <c r="E10" s="9" t="s">
        <v>880</v>
      </c>
      <c r="F10" s="245" t="s">
        <v>205</v>
      </c>
      <c r="G10" s="25"/>
      <c r="H10" s="25"/>
    </row>
    <row r="11" spans="1:8">
      <c r="A11" s="25"/>
      <c r="B11" s="1055"/>
      <c r="C11" s="1058"/>
      <c r="D11" s="7" t="s">
        <v>881</v>
      </c>
      <c r="E11" s="9" t="s">
        <v>300</v>
      </c>
      <c r="F11" s="245" t="s">
        <v>205</v>
      </c>
      <c r="G11" s="25"/>
      <c r="H11" s="25"/>
    </row>
    <row r="12" spans="1:8">
      <c r="A12" s="25"/>
      <c r="B12" s="1055"/>
      <c r="C12" s="1058"/>
      <c r="D12" s="7" t="s">
        <v>882</v>
      </c>
      <c r="E12" s="9" t="s">
        <v>883</v>
      </c>
      <c r="F12" s="245" t="s">
        <v>205</v>
      </c>
      <c r="G12" s="25"/>
      <c r="H12" s="25"/>
    </row>
    <row r="13" spans="1:8">
      <c r="A13" s="25"/>
      <c r="B13" s="1055"/>
      <c r="C13" s="7" t="s">
        <v>304</v>
      </c>
      <c r="D13" s="7" t="s">
        <v>884</v>
      </c>
      <c r="E13" s="9" t="s">
        <v>304</v>
      </c>
      <c r="F13" s="241" t="s">
        <v>203</v>
      </c>
      <c r="G13" s="25"/>
      <c r="H13" s="25"/>
    </row>
    <row r="14" spans="1:8" ht="15.75" thickBot="1">
      <c r="A14" s="25"/>
      <c r="B14" s="1056"/>
      <c r="C14" s="229" t="s">
        <v>885</v>
      </c>
      <c r="D14" s="229" t="s">
        <v>886</v>
      </c>
      <c r="E14" s="242" t="s">
        <v>305</v>
      </c>
      <c r="F14" s="243" t="s">
        <v>203</v>
      </c>
      <c r="G14" s="25"/>
      <c r="H14" s="25"/>
    </row>
    <row r="15" spans="1:8">
      <c r="A15" s="25"/>
      <c r="B15" s="1054" t="s">
        <v>887</v>
      </c>
      <c r="C15" s="257" t="s">
        <v>888</v>
      </c>
      <c r="D15" s="257" t="s">
        <v>889</v>
      </c>
      <c r="E15" s="239" t="s">
        <v>309</v>
      </c>
      <c r="F15" s="240" t="s">
        <v>203</v>
      </c>
      <c r="G15" s="25"/>
      <c r="H15" s="25"/>
    </row>
    <row r="16" spans="1:8">
      <c r="A16" s="25"/>
      <c r="B16" s="1055"/>
      <c r="C16" s="7" t="s">
        <v>308</v>
      </c>
      <c r="D16" s="7" t="s">
        <v>890</v>
      </c>
      <c r="E16" s="9" t="s">
        <v>308</v>
      </c>
      <c r="F16" s="241" t="s">
        <v>203</v>
      </c>
      <c r="G16" s="25"/>
      <c r="H16" s="25"/>
    </row>
    <row r="17" spans="1:8">
      <c r="A17" s="25"/>
      <c r="B17" s="1055"/>
      <c r="C17" s="1058" t="s">
        <v>891</v>
      </c>
      <c r="D17" s="7" t="s">
        <v>892</v>
      </c>
      <c r="E17" s="9" t="s">
        <v>310</v>
      </c>
      <c r="F17" s="245" t="s">
        <v>205</v>
      </c>
      <c r="G17" s="25"/>
      <c r="H17" s="25"/>
    </row>
    <row r="18" spans="1:8">
      <c r="A18" s="25"/>
      <c r="B18" s="1055"/>
      <c r="C18" s="1058"/>
      <c r="D18" s="7" t="s">
        <v>893</v>
      </c>
      <c r="E18" s="9" t="s">
        <v>311</v>
      </c>
      <c r="F18" s="245" t="s">
        <v>205</v>
      </c>
      <c r="G18" s="25"/>
      <c r="H18" s="25"/>
    </row>
    <row r="19" spans="1:8" ht="15.75" thickBot="1">
      <c r="A19" s="25"/>
      <c r="B19" s="1056"/>
      <c r="C19" s="1059"/>
      <c r="D19" s="229" t="s">
        <v>894</v>
      </c>
      <c r="E19" s="242" t="s">
        <v>312</v>
      </c>
      <c r="F19" s="246" t="s">
        <v>205</v>
      </c>
      <c r="G19" s="25"/>
      <c r="H19" s="25"/>
    </row>
    <row r="20" spans="1:8">
      <c r="A20" s="25"/>
      <c r="B20" s="1054" t="s">
        <v>207</v>
      </c>
      <c r="C20" s="257" t="s">
        <v>895</v>
      </c>
      <c r="D20" s="257" t="s">
        <v>896</v>
      </c>
      <c r="E20" s="239" t="s">
        <v>319</v>
      </c>
      <c r="F20" s="240" t="s">
        <v>203</v>
      </c>
      <c r="G20" s="25"/>
      <c r="H20" s="25"/>
    </row>
    <row r="21" spans="1:8">
      <c r="A21" s="25"/>
      <c r="B21" s="1055"/>
      <c r="C21" s="1058" t="s">
        <v>897</v>
      </c>
      <c r="D21" s="7" t="s">
        <v>898</v>
      </c>
      <c r="E21" s="9" t="s">
        <v>313</v>
      </c>
      <c r="F21" s="245" t="s">
        <v>205</v>
      </c>
      <c r="G21" s="25"/>
      <c r="H21" s="25"/>
    </row>
    <row r="22" spans="1:8">
      <c r="A22" s="25"/>
      <c r="B22" s="1055"/>
      <c r="C22" s="1058"/>
      <c r="D22" s="7" t="s">
        <v>899</v>
      </c>
      <c r="E22" s="9" t="s">
        <v>314</v>
      </c>
      <c r="F22" s="245" t="s">
        <v>205</v>
      </c>
      <c r="G22" s="25"/>
      <c r="H22" s="25"/>
    </row>
    <row r="23" spans="1:8">
      <c r="A23" s="25"/>
      <c r="B23" s="1055"/>
      <c r="C23" s="1058"/>
      <c r="D23" s="7" t="s">
        <v>900</v>
      </c>
      <c r="E23" s="9" t="s">
        <v>315</v>
      </c>
      <c r="F23" s="245" t="s">
        <v>205</v>
      </c>
      <c r="G23" s="25"/>
      <c r="H23" s="25"/>
    </row>
    <row r="24" spans="1:8">
      <c r="A24" s="25"/>
      <c r="B24" s="1055"/>
      <c r="C24" s="1058"/>
      <c r="D24" s="7" t="s">
        <v>901</v>
      </c>
      <c r="E24" s="9" t="s">
        <v>316</v>
      </c>
      <c r="F24" s="245" t="s">
        <v>205</v>
      </c>
      <c r="G24" s="25"/>
      <c r="H24" s="25"/>
    </row>
    <row r="25" spans="1:8">
      <c r="A25" s="25"/>
      <c r="B25" s="1055"/>
      <c r="C25" s="1058"/>
      <c r="D25" s="7" t="s">
        <v>902</v>
      </c>
      <c r="E25" s="9" t="s">
        <v>317</v>
      </c>
      <c r="F25" s="245" t="s">
        <v>205</v>
      </c>
      <c r="G25" s="25"/>
      <c r="H25" s="25"/>
    </row>
    <row r="26" spans="1:8">
      <c r="A26" s="25"/>
      <c r="B26" s="1055"/>
      <c r="C26" s="1058"/>
      <c r="D26" s="7" t="s">
        <v>903</v>
      </c>
      <c r="E26" s="9" t="s">
        <v>318</v>
      </c>
      <c r="F26" s="245" t="s">
        <v>205</v>
      </c>
      <c r="G26" s="25"/>
      <c r="H26" s="25"/>
    </row>
    <row r="27" spans="1:8" ht="15.75" thickBot="1">
      <c r="A27" s="25"/>
      <c r="B27" s="1056"/>
      <c r="C27" s="1059"/>
      <c r="D27" s="229" t="s">
        <v>904</v>
      </c>
      <c r="E27" s="242" t="s">
        <v>905</v>
      </c>
      <c r="F27" s="246" t="s">
        <v>205</v>
      </c>
      <c r="G27" s="25"/>
      <c r="H27" s="25"/>
    </row>
    <row r="28" spans="1:8">
      <c r="A28" s="25"/>
      <c r="B28" s="1054" t="s">
        <v>906</v>
      </c>
      <c r="C28" s="1057" t="s">
        <v>907</v>
      </c>
      <c r="D28" s="257" t="s">
        <v>908</v>
      </c>
      <c r="E28" s="239" t="s">
        <v>909</v>
      </c>
      <c r="F28" s="240" t="s">
        <v>203</v>
      </c>
      <c r="G28" s="25"/>
      <c r="H28" s="25"/>
    </row>
    <row r="29" spans="1:8">
      <c r="A29" s="25"/>
      <c r="B29" s="1055"/>
      <c r="C29" s="1058"/>
      <c r="D29" s="7" t="s">
        <v>910</v>
      </c>
      <c r="E29" s="9" t="s">
        <v>911</v>
      </c>
      <c r="F29" s="245" t="s">
        <v>205</v>
      </c>
      <c r="G29" s="25"/>
      <c r="H29" s="25"/>
    </row>
    <row r="30" spans="1:8">
      <c r="A30" s="25"/>
      <c r="B30" s="1055"/>
      <c r="C30" s="1058"/>
      <c r="D30" s="7" t="s">
        <v>912</v>
      </c>
      <c r="E30" s="9" t="s">
        <v>913</v>
      </c>
      <c r="F30" s="245" t="s">
        <v>205</v>
      </c>
      <c r="G30" s="25"/>
      <c r="H30" s="25"/>
    </row>
    <row r="31" spans="1:8">
      <c r="A31" s="25"/>
      <c r="B31" s="1055"/>
      <c r="C31" s="1058" t="s">
        <v>914</v>
      </c>
      <c r="D31" s="7" t="s">
        <v>915</v>
      </c>
      <c r="E31" s="9" t="s">
        <v>916</v>
      </c>
      <c r="F31" s="241" t="s">
        <v>203</v>
      </c>
      <c r="G31" s="25"/>
      <c r="H31" s="25"/>
    </row>
    <row r="32" spans="1:8">
      <c r="A32" s="25"/>
      <c r="B32" s="1055"/>
      <c r="C32" s="1058"/>
      <c r="D32" s="7" t="s">
        <v>917</v>
      </c>
      <c r="E32" s="9" t="s">
        <v>918</v>
      </c>
      <c r="F32" s="245" t="s">
        <v>205</v>
      </c>
      <c r="G32" s="25"/>
      <c r="H32" s="25"/>
    </row>
    <row r="33" spans="1:8" ht="30">
      <c r="A33" s="25"/>
      <c r="B33" s="1055"/>
      <c r="C33" s="1058"/>
      <c r="D33" s="7" t="s">
        <v>919</v>
      </c>
      <c r="E33" s="9" t="s">
        <v>920</v>
      </c>
      <c r="F33" s="245" t="s">
        <v>205</v>
      </c>
      <c r="G33" s="25"/>
      <c r="H33" s="25"/>
    </row>
    <row r="34" spans="1:8">
      <c r="A34" s="25"/>
      <c r="B34" s="1055"/>
      <c r="C34" s="7" t="s">
        <v>921</v>
      </c>
      <c r="D34" s="7" t="s">
        <v>922</v>
      </c>
      <c r="E34" s="9" t="s">
        <v>923</v>
      </c>
      <c r="F34" s="247" t="s">
        <v>331</v>
      </c>
      <c r="G34" s="25"/>
      <c r="H34" s="25"/>
    </row>
    <row r="35" spans="1:8">
      <c r="A35" s="25"/>
      <c r="B35" s="1055"/>
      <c r="C35" s="1058" t="s">
        <v>924</v>
      </c>
      <c r="D35" s="7" t="s">
        <v>925</v>
      </c>
      <c r="E35" s="9" t="s">
        <v>926</v>
      </c>
      <c r="F35" s="241" t="s">
        <v>203</v>
      </c>
      <c r="G35" s="25"/>
      <c r="H35" s="25"/>
    </row>
    <row r="36" spans="1:8">
      <c r="A36" s="25"/>
      <c r="B36" s="1055"/>
      <c r="C36" s="1058"/>
      <c r="D36" s="7" t="s">
        <v>927</v>
      </c>
      <c r="E36" s="9" t="s">
        <v>928</v>
      </c>
      <c r="F36" s="241" t="s">
        <v>203</v>
      </c>
      <c r="G36" s="25"/>
      <c r="H36" s="25"/>
    </row>
    <row r="37" spans="1:8" ht="30">
      <c r="A37" s="25"/>
      <c r="B37" s="1055"/>
      <c r="C37" s="1058"/>
      <c r="D37" s="7" t="s">
        <v>929</v>
      </c>
      <c r="E37" s="9" t="s">
        <v>930</v>
      </c>
      <c r="F37" s="245" t="s">
        <v>205</v>
      </c>
      <c r="G37" s="25"/>
      <c r="H37" s="25"/>
    </row>
    <row r="38" spans="1:8" ht="15.75" thickBot="1">
      <c r="A38" s="25"/>
      <c r="B38" s="1056"/>
      <c r="C38" s="1059"/>
      <c r="D38" s="229" t="s">
        <v>931</v>
      </c>
      <c r="E38" s="242" t="s">
        <v>932</v>
      </c>
      <c r="F38" s="246" t="s">
        <v>205</v>
      </c>
      <c r="G38" s="25"/>
      <c r="H38" s="25"/>
    </row>
    <row r="39" spans="1:8">
      <c r="A39" s="25"/>
      <c r="B39" s="1060" t="s">
        <v>933</v>
      </c>
      <c r="C39" s="257" t="s">
        <v>934</v>
      </c>
      <c r="D39" s="257" t="s">
        <v>935</v>
      </c>
      <c r="E39" s="239" t="s">
        <v>366</v>
      </c>
      <c r="F39" s="240" t="s">
        <v>936</v>
      </c>
      <c r="G39" s="25"/>
      <c r="H39" s="25"/>
    </row>
    <row r="40" spans="1:8">
      <c r="A40" s="25"/>
      <c r="B40" s="1061"/>
      <c r="C40" s="7" t="s">
        <v>934</v>
      </c>
      <c r="D40" s="7" t="s">
        <v>937</v>
      </c>
      <c r="E40" s="9" t="s">
        <v>365</v>
      </c>
      <c r="F40" s="241" t="s">
        <v>936</v>
      </c>
      <c r="G40" s="25"/>
      <c r="H40" s="25"/>
    </row>
    <row r="41" spans="1:8" ht="30.75" thickBot="1">
      <c r="A41" s="25"/>
      <c r="B41" s="1062"/>
      <c r="C41" s="229" t="s">
        <v>934</v>
      </c>
      <c r="D41" s="229" t="s">
        <v>938</v>
      </c>
      <c r="E41" s="242" t="s">
        <v>939</v>
      </c>
      <c r="F41" s="246" t="s">
        <v>205</v>
      </c>
      <c r="G41" s="25"/>
      <c r="H41" s="25"/>
    </row>
    <row r="42" spans="1:8">
      <c r="A42" s="25"/>
      <c r="B42" s="1054" t="s">
        <v>209</v>
      </c>
      <c r="C42" s="257" t="s">
        <v>934</v>
      </c>
      <c r="D42" s="257" t="s">
        <v>940</v>
      </c>
      <c r="E42" s="239" t="s">
        <v>363</v>
      </c>
      <c r="F42" s="240" t="s">
        <v>936</v>
      </c>
      <c r="G42" s="25"/>
      <c r="H42" s="25"/>
    </row>
    <row r="43" spans="1:8">
      <c r="A43" s="25"/>
      <c r="B43" s="1055"/>
      <c r="C43" s="7" t="s">
        <v>934</v>
      </c>
      <c r="D43" s="7" t="s">
        <v>941</v>
      </c>
      <c r="E43" s="9" t="s">
        <v>357</v>
      </c>
      <c r="F43" s="241" t="s">
        <v>936</v>
      </c>
      <c r="G43" s="25"/>
      <c r="H43" s="25"/>
    </row>
    <row r="44" spans="1:8">
      <c r="A44" s="25"/>
      <c r="B44" s="1055"/>
      <c r="C44" s="7" t="s">
        <v>934</v>
      </c>
      <c r="D44" s="7" t="s">
        <v>942</v>
      </c>
      <c r="E44" s="9" t="s">
        <v>361</v>
      </c>
      <c r="F44" s="241" t="s">
        <v>936</v>
      </c>
      <c r="G44" s="25"/>
      <c r="H44" s="25"/>
    </row>
    <row r="45" spans="1:8">
      <c r="A45" s="25"/>
      <c r="B45" s="1055"/>
      <c r="C45" s="7" t="s">
        <v>934</v>
      </c>
      <c r="D45" s="7" t="s">
        <v>943</v>
      </c>
      <c r="E45" s="9" t="s">
        <v>358</v>
      </c>
      <c r="F45" s="241" t="s">
        <v>203</v>
      </c>
      <c r="G45" s="25"/>
      <c r="H45" s="25"/>
    </row>
    <row r="46" spans="1:8">
      <c r="A46" s="25"/>
      <c r="B46" s="1055"/>
      <c r="C46" s="7" t="s">
        <v>934</v>
      </c>
      <c r="D46" s="7" t="s">
        <v>944</v>
      </c>
      <c r="E46" s="9" t="s">
        <v>360</v>
      </c>
      <c r="F46" s="241" t="s">
        <v>936</v>
      </c>
      <c r="G46" s="25"/>
      <c r="H46" s="25"/>
    </row>
    <row r="47" spans="1:8">
      <c r="A47" s="25"/>
      <c r="B47" s="1055"/>
      <c r="C47" s="7" t="s">
        <v>934</v>
      </c>
      <c r="D47" s="7" t="s">
        <v>945</v>
      </c>
      <c r="E47" s="9" t="s">
        <v>359</v>
      </c>
      <c r="F47" s="241" t="s">
        <v>203</v>
      </c>
      <c r="G47" s="25"/>
      <c r="H47" s="25"/>
    </row>
    <row r="48" spans="1:8">
      <c r="A48" s="25"/>
      <c r="B48" s="1055"/>
      <c r="C48" s="7" t="s">
        <v>934</v>
      </c>
      <c r="D48" s="7" t="s">
        <v>946</v>
      </c>
      <c r="E48" s="9" t="s">
        <v>362</v>
      </c>
      <c r="F48" s="241" t="s">
        <v>936</v>
      </c>
      <c r="G48" s="25"/>
      <c r="H48" s="25"/>
    </row>
    <row r="49" spans="1:8">
      <c r="A49" s="25"/>
      <c r="B49" s="1055"/>
      <c r="C49" s="7" t="s">
        <v>934</v>
      </c>
      <c r="D49" s="7" t="s">
        <v>947</v>
      </c>
      <c r="E49" s="9" t="s">
        <v>948</v>
      </c>
      <c r="F49" s="241" t="s">
        <v>203</v>
      </c>
      <c r="G49" s="25"/>
      <c r="H49" s="25"/>
    </row>
    <row r="50" spans="1:8">
      <c r="A50" s="25"/>
      <c r="B50" s="1055"/>
      <c r="C50" s="7" t="s">
        <v>934</v>
      </c>
      <c r="D50" s="7" t="s">
        <v>949</v>
      </c>
      <c r="E50" s="9" t="s">
        <v>950</v>
      </c>
      <c r="F50" s="245" t="s">
        <v>205</v>
      </c>
      <c r="G50" s="25"/>
      <c r="H50" s="25"/>
    </row>
    <row r="51" spans="1:8" ht="15.75" thickBot="1">
      <c r="A51" s="25"/>
      <c r="B51" s="1056"/>
      <c r="C51" s="229" t="s">
        <v>934</v>
      </c>
      <c r="D51" s="229" t="s">
        <v>951</v>
      </c>
      <c r="E51" s="242" t="s">
        <v>364</v>
      </c>
      <c r="F51" s="246" t="s">
        <v>205</v>
      </c>
      <c r="G51" s="25"/>
      <c r="H51" s="25"/>
    </row>
    <row r="52" spans="1:8">
      <c r="A52" s="25"/>
      <c r="B52" s="1054" t="s">
        <v>210</v>
      </c>
      <c r="C52" s="257" t="s">
        <v>325</v>
      </c>
      <c r="D52" s="257" t="s">
        <v>952</v>
      </c>
      <c r="E52" s="239" t="s">
        <v>325</v>
      </c>
      <c r="F52" s="244" t="s">
        <v>205</v>
      </c>
      <c r="G52" s="25"/>
      <c r="H52" s="25"/>
    </row>
    <row r="53" spans="1:8" ht="15.75" thickBot="1">
      <c r="A53" s="25"/>
      <c r="B53" s="1056"/>
      <c r="C53" s="229" t="s">
        <v>953</v>
      </c>
      <c r="D53" s="229" t="s">
        <v>954</v>
      </c>
      <c r="E53" s="242" t="s">
        <v>955</v>
      </c>
      <c r="F53" s="246" t="s">
        <v>205</v>
      </c>
      <c r="G53" s="25"/>
      <c r="H53" s="25"/>
    </row>
    <row r="54" spans="1:8">
      <c r="A54" s="25"/>
      <c r="B54" s="1054" t="s">
        <v>956</v>
      </c>
      <c r="C54" s="257" t="s">
        <v>957</v>
      </c>
      <c r="D54" s="257" t="s">
        <v>958</v>
      </c>
      <c r="E54" s="239" t="s">
        <v>259</v>
      </c>
      <c r="F54" s="244" t="s">
        <v>205</v>
      </c>
      <c r="G54" s="25"/>
      <c r="H54" s="25"/>
    </row>
    <row r="55" spans="1:8">
      <c r="A55" s="25"/>
      <c r="B55" s="1055"/>
      <c r="C55" s="7" t="s">
        <v>261</v>
      </c>
      <c r="D55" s="7" t="s">
        <v>959</v>
      </c>
      <c r="E55" s="9" t="s">
        <v>261</v>
      </c>
      <c r="F55" s="241" t="s">
        <v>203</v>
      </c>
      <c r="G55" s="25"/>
      <c r="H55" s="25"/>
    </row>
    <row r="56" spans="1:8" ht="15.75" thickBot="1">
      <c r="A56" s="25"/>
      <c r="B56" s="1056"/>
      <c r="C56" s="229" t="s">
        <v>960</v>
      </c>
      <c r="D56" s="229" t="s">
        <v>961</v>
      </c>
      <c r="E56" s="242" t="s">
        <v>260</v>
      </c>
      <c r="F56" s="246" t="s">
        <v>205</v>
      </c>
      <c r="G56" s="25"/>
      <c r="H56" s="25"/>
    </row>
    <row r="57" spans="1:8">
      <c r="A57" s="25"/>
      <c r="B57" s="1054" t="s">
        <v>211</v>
      </c>
      <c r="C57" s="257" t="s">
        <v>962</v>
      </c>
      <c r="D57" s="257" t="s">
        <v>963</v>
      </c>
      <c r="E57" s="239" t="s">
        <v>326</v>
      </c>
      <c r="F57" s="240" t="s">
        <v>203</v>
      </c>
      <c r="G57" s="25"/>
      <c r="H57" s="25"/>
    </row>
    <row r="58" spans="1:8" ht="15.75" thickBot="1">
      <c r="A58" s="25"/>
      <c r="B58" s="1056"/>
      <c r="C58" s="229" t="s">
        <v>964</v>
      </c>
      <c r="D58" s="229" t="s">
        <v>965</v>
      </c>
      <c r="E58" s="242" t="s">
        <v>327</v>
      </c>
      <c r="F58" s="246" t="s">
        <v>205</v>
      </c>
      <c r="G58" s="25"/>
      <c r="H58" s="25"/>
    </row>
    <row r="59" spans="1:8">
      <c r="A59" s="25"/>
      <c r="B59" s="1054" t="s">
        <v>212</v>
      </c>
      <c r="C59" s="257" t="s">
        <v>329</v>
      </c>
      <c r="D59" s="257" t="s">
        <v>966</v>
      </c>
      <c r="E59" s="239" t="s">
        <v>329</v>
      </c>
      <c r="F59" s="240" t="s">
        <v>203</v>
      </c>
      <c r="G59" s="25"/>
      <c r="H59" s="25"/>
    </row>
    <row r="60" spans="1:8">
      <c r="A60" s="25"/>
      <c r="B60" s="1055"/>
      <c r="C60" s="7" t="s">
        <v>967</v>
      </c>
      <c r="D60" s="7" t="s">
        <v>968</v>
      </c>
      <c r="E60" s="9" t="s">
        <v>969</v>
      </c>
      <c r="F60" s="241" t="s">
        <v>203</v>
      </c>
      <c r="G60" s="25"/>
      <c r="H60" s="25"/>
    </row>
    <row r="61" spans="1:8">
      <c r="A61" s="25"/>
      <c r="B61" s="1055"/>
      <c r="C61" s="7" t="s">
        <v>970</v>
      </c>
      <c r="D61" s="7" t="s">
        <v>971</v>
      </c>
      <c r="E61" s="9" t="s">
        <v>972</v>
      </c>
      <c r="F61" s="245" t="s">
        <v>205</v>
      </c>
      <c r="G61" s="25"/>
      <c r="H61" s="25"/>
    </row>
    <row r="62" spans="1:8">
      <c r="A62" s="25"/>
      <c r="B62" s="1055"/>
      <c r="C62" s="7" t="s">
        <v>333</v>
      </c>
      <c r="D62" s="7" t="s">
        <v>973</v>
      </c>
      <c r="E62" s="9" t="s">
        <v>333</v>
      </c>
      <c r="F62" s="241" t="s">
        <v>203</v>
      </c>
      <c r="G62" s="25"/>
      <c r="H62" s="25"/>
    </row>
    <row r="63" spans="1:8">
      <c r="A63" s="25"/>
      <c r="B63" s="1055"/>
      <c r="C63" s="7" t="s">
        <v>974</v>
      </c>
      <c r="D63" s="7" t="s">
        <v>975</v>
      </c>
      <c r="E63" s="9" t="s">
        <v>336</v>
      </c>
      <c r="F63" s="245" t="s">
        <v>205</v>
      </c>
      <c r="G63" s="25"/>
      <c r="H63" s="25"/>
    </row>
    <row r="64" spans="1:8">
      <c r="A64" s="25"/>
      <c r="B64" s="1055"/>
      <c r="C64" s="1058" t="s">
        <v>976</v>
      </c>
      <c r="D64" s="7" t="s">
        <v>977</v>
      </c>
      <c r="E64" s="9" t="s">
        <v>349</v>
      </c>
      <c r="F64" s="241" t="s">
        <v>203</v>
      </c>
      <c r="G64" s="25"/>
      <c r="H64" s="25"/>
    </row>
    <row r="65" spans="1:8">
      <c r="A65" s="25"/>
      <c r="B65" s="1055"/>
      <c r="C65" s="1058"/>
      <c r="D65" s="7" t="s">
        <v>978</v>
      </c>
      <c r="E65" s="9" t="s">
        <v>979</v>
      </c>
      <c r="F65" s="247" t="s">
        <v>331</v>
      </c>
      <c r="G65" s="25"/>
      <c r="H65" s="25"/>
    </row>
    <row r="66" spans="1:8">
      <c r="A66" s="25"/>
      <c r="B66" s="1055"/>
      <c r="C66" s="7" t="s">
        <v>980</v>
      </c>
      <c r="D66" s="7" t="s">
        <v>981</v>
      </c>
      <c r="E66" s="9" t="s">
        <v>982</v>
      </c>
      <c r="F66" s="245" t="s">
        <v>205</v>
      </c>
      <c r="G66" s="25"/>
      <c r="H66" s="25"/>
    </row>
    <row r="67" spans="1:8">
      <c r="A67" s="25"/>
      <c r="B67" s="1055"/>
      <c r="C67" s="7" t="s">
        <v>983</v>
      </c>
      <c r="D67" s="7" t="s">
        <v>984</v>
      </c>
      <c r="E67" s="9" t="s">
        <v>338</v>
      </c>
      <c r="F67" s="241" t="s">
        <v>203</v>
      </c>
      <c r="G67" s="25"/>
      <c r="H67" s="25"/>
    </row>
    <row r="68" spans="1:8">
      <c r="A68" s="25"/>
      <c r="B68" s="1055"/>
      <c r="C68" s="1058" t="s">
        <v>985</v>
      </c>
      <c r="D68" s="7" t="s">
        <v>986</v>
      </c>
      <c r="E68" s="9" t="s">
        <v>339</v>
      </c>
      <c r="F68" s="241" t="s">
        <v>203</v>
      </c>
      <c r="G68" s="25"/>
      <c r="H68" s="25"/>
    </row>
    <row r="69" spans="1:8">
      <c r="A69" s="25"/>
      <c r="B69" s="1055"/>
      <c r="C69" s="1058"/>
      <c r="D69" s="7" t="s">
        <v>987</v>
      </c>
      <c r="E69" s="9" t="s">
        <v>340</v>
      </c>
      <c r="F69" s="241" t="s">
        <v>203</v>
      </c>
      <c r="G69" s="25"/>
      <c r="H69" s="25"/>
    </row>
    <row r="70" spans="1:8">
      <c r="A70" s="25"/>
      <c r="B70" s="1055"/>
      <c r="C70" s="7" t="s">
        <v>988</v>
      </c>
      <c r="D70" s="7" t="s">
        <v>989</v>
      </c>
      <c r="E70" s="9" t="s">
        <v>337</v>
      </c>
      <c r="F70" s="247" t="s">
        <v>331</v>
      </c>
      <c r="G70" s="25"/>
      <c r="H70" s="25"/>
    </row>
    <row r="71" spans="1:8">
      <c r="A71" s="25"/>
      <c r="B71" s="1055"/>
      <c r="C71" s="7" t="s">
        <v>990</v>
      </c>
      <c r="D71" s="7" t="s">
        <v>991</v>
      </c>
      <c r="E71" s="9" t="s">
        <v>322</v>
      </c>
      <c r="F71" s="241" t="s">
        <v>203</v>
      </c>
      <c r="G71" s="25"/>
      <c r="H71" s="25"/>
    </row>
    <row r="72" spans="1:8">
      <c r="A72" s="25"/>
      <c r="B72" s="1055"/>
      <c r="C72" s="7" t="s">
        <v>992</v>
      </c>
      <c r="D72" s="7" t="s">
        <v>993</v>
      </c>
      <c r="E72" s="9" t="s">
        <v>343</v>
      </c>
      <c r="F72" s="241" t="s">
        <v>203</v>
      </c>
      <c r="G72" s="25"/>
      <c r="H72" s="25"/>
    </row>
    <row r="73" spans="1:8">
      <c r="A73" s="25"/>
      <c r="B73" s="1055"/>
      <c r="C73" s="7" t="s">
        <v>994</v>
      </c>
      <c r="D73" s="7" t="s">
        <v>995</v>
      </c>
      <c r="E73" s="9" t="s">
        <v>330</v>
      </c>
      <c r="F73" s="247" t="s">
        <v>331</v>
      </c>
      <c r="G73" s="25"/>
      <c r="H73" s="25"/>
    </row>
    <row r="74" spans="1:8">
      <c r="A74" s="25"/>
      <c r="B74" s="1055"/>
      <c r="C74" s="7" t="s">
        <v>996</v>
      </c>
      <c r="D74" s="7" t="s">
        <v>997</v>
      </c>
      <c r="E74" s="9" t="s">
        <v>341</v>
      </c>
      <c r="F74" s="241" t="s">
        <v>203</v>
      </c>
      <c r="G74" s="25"/>
      <c r="H74" s="25"/>
    </row>
    <row r="75" spans="1:8">
      <c r="A75" s="25"/>
      <c r="B75" s="1055"/>
      <c r="C75" s="7" t="s">
        <v>998</v>
      </c>
      <c r="D75" s="7" t="s">
        <v>999</v>
      </c>
      <c r="E75" s="9" t="s">
        <v>1000</v>
      </c>
      <c r="F75" s="241" t="s">
        <v>203</v>
      </c>
      <c r="G75" s="25"/>
      <c r="H75" s="25"/>
    </row>
    <row r="76" spans="1:8">
      <c r="A76" s="25"/>
      <c r="B76" s="1055"/>
      <c r="C76" s="7" t="s">
        <v>1001</v>
      </c>
      <c r="D76" s="7" t="s">
        <v>1002</v>
      </c>
      <c r="E76" s="9" t="s">
        <v>1003</v>
      </c>
      <c r="F76" s="241" t="s">
        <v>203</v>
      </c>
      <c r="G76" s="25"/>
      <c r="H76" s="25"/>
    </row>
    <row r="77" spans="1:8">
      <c r="A77" s="25"/>
      <c r="B77" s="1055"/>
      <c r="C77" s="1058" t="s">
        <v>1004</v>
      </c>
      <c r="D77" s="7" t="s">
        <v>1005</v>
      </c>
      <c r="E77" s="9" t="s">
        <v>344</v>
      </c>
      <c r="F77" s="241" t="s">
        <v>203</v>
      </c>
      <c r="G77" s="25"/>
      <c r="H77" s="25"/>
    </row>
    <row r="78" spans="1:8">
      <c r="A78" s="25"/>
      <c r="B78" s="1055"/>
      <c r="C78" s="1058"/>
      <c r="D78" s="7" t="s">
        <v>1006</v>
      </c>
      <c r="E78" s="9" t="s">
        <v>1007</v>
      </c>
      <c r="F78" s="241" t="s">
        <v>203</v>
      </c>
      <c r="G78" s="25"/>
      <c r="H78" s="25"/>
    </row>
    <row r="79" spans="1:8" ht="15.75" thickBot="1">
      <c r="A79" s="25"/>
      <c r="B79" s="1056"/>
      <c r="C79" s="229" t="s">
        <v>1008</v>
      </c>
      <c r="D79" s="229" t="s">
        <v>1009</v>
      </c>
      <c r="E79" s="242" t="s">
        <v>335</v>
      </c>
      <c r="F79" s="251" t="s">
        <v>331</v>
      </c>
      <c r="G79" s="25"/>
      <c r="H79" s="25"/>
    </row>
    <row r="80" spans="1:8">
      <c r="A80" s="25"/>
      <c r="B80" s="1054" t="s">
        <v>213</v>
      </c>
      <c r="C80" s="1057" t="s">
        <v>1010</v>
      </c>
      <c r="D80" s="257" t="s">
        <v>1011</v>
      </c>
      <c r="E80" s="239" t="s">
        <v>351</v>
      </c>
      <c r="F80" s="240" t="s">
        <v>203</v>
      </c>
      <c r="G80" s="25"/>
      <c r="H80" s="25"/>
    </row>
    <row r="81" spans="1:8">
      <c r="A81" s="25"/>
      <c r="B81" s="1055"/>
      <c r="C81" s="1058"/>
      <c r="D81" s="7" t="s">
        <v>1012</v>
      </c>
      <c r="E81" s="9" t="s">
        <v>1013</v>
      </c>
      <c r="F81" s="245" t="s">
        <v>205</v>
      </c>
      <c r="G81" s="25"/>
      <c r="H81" s="25"/>
    </row>
    <row r="82" spans="1:8">
      <c r="A82" s="25"/>
      <c r="B82" s="1055"/>
      <c r="C82" s="7" t="s">
        <v>1014</v>
      </c>
      <c r="D82" s="7" t="s">
        <v>1015</v>
      </c>
      <c r="E82" s="9" t="s">
        <v>353</v>
      </c>
      <c r="F82" s="245" t="s">
        <v>205</v>
      </c>
      <c r="G82" s="25"/>
      <c r="H82" s="25"/>
    </row>
    <row r="83" spans="1:8" ht="15.75" thickBot="1">
      <c r="A83" s="25"/>
      <c r="B83" s="1056"/>
      <c r="C83" s="229" t="s">
        <v>1016</v>
      </c>
      <c r="D83" s="229" t="s">
        <v>1017</v>
      </c>
      <c r="E83" s="242" t="s">
        <v>354</v>
      </c>
      <c r="F83" s="246" t="s">
        <v>205</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G10" sqref="G10"/>
    </sheetView>
  </sheetViews>
  <sheetFormatPr defaultColWidth="0" defaultRowHeight="0" customHeight="1" zeroHeight="1"/>
  <cols>
    <col min="1" max="1" width="4.42578125" customWidth="1"/>
    <col min="2" max="3" width="39.28515625" customWidth="1"/>
    <col min="4" max="4" width="70.85546875" customWidth="1"/>
    <col min="5" max="5" width="6" customWidth="1"/>
    <col min="6" max="6" width="13.7109375" customWidth="1"/>
    <col min="7" max="11" width="8.85546875" customWidth="1"/>
    <col min="12" max="16384" width="8.85546875" hidden="1"/>
  </cols>
  <sheetData>
    <row r="1" spans="1:11" ht="15.75" thickBot="1">
      <c r="A1" s="25"/>
      <c r="B1" s="25"/>
      <c r="C1" s="25"/>
      <c r="D1" s="25"/>
      <c r="E1" s="25"/>
      <c r="F1" s="25"/>
      <c r="G1" s="25"/>
      <c r="H1" s="25"/>
      <c r="I1" s="25"/>
      <c r="J1" s="25"/>
      <c r="K1" s="25"/>
    </row>
    <row r="2" spans="1:11" ht="32.450000000000003" customHeight="1" thickBot="1">
      <c r="A2" s="25"/>
      <c r="B2" s="619" t="s">
        <v>13</v>
      </c>
      <c r="C2" s="620"/>
      <c r="D2" s="260" t="s">
        <v>14</v>
      </c>
      <c r="E2" s="40"/>
      <c r="F2" s="25"/>
      <c r="G2" s="25"/>
      <c r="H2" s="25"/>
      <c r="I2" s="25"/>
      <c r="J2" s="25"/>
      <c r="K2" s="25"/>
    </row>
    <row r="3" spans="1:11" ht="42" customHeight="1">
      <c r="A3" s="25"/>
      <c r="B3" s="621" t="s">
        <v>15</v>
      </c>
      <c r="C3" s="622"/>
      <c r="D3" s="31" t="s">
        <v>1053</v>
      </c>
      <c r="E3" s="25"/>
      <c r="F3" s="25"/>
      <c r="G3" s="25"/>
      <c r="H3" s="25"/>
      <c r="I3" s="25"/>
      <c r="J3" s="25"/>
      <c r="K3" s="25"/>
    </row>
    <row r="4" spans="1:11" ht="42" customHeight="1">
      <c r="A4" s="25"/>
      <c r="B4" s="617" t="s">
        <v>16</v>
      </c>
      <c r="C4" s="618"/>
      <c r="D4" s="32" t="s">
        <v>1054</v>
      </c>
      <c r="E4" s="25"/>
      <c r="F4" s="25"/>
      <c r="G4" s="25"/>
      <c r="H4" s="25"/>
      <c r="I4" s="25"/>
      <c r="J4" s="25"/>
      <c r="K4" s="25"/>
    </row>
    <row r="5" spans="1:11" ht="42" customHeight="1">
      <c r="A5" s="25"/>
      <c r="B5" s="617" t="s">
        <v>17</v>
      </c>
      <c r="C5" s="618"/>
      <c r="D5" s="32" t="s">
        <v>1059</v>
      </c>
      <c r="E5" s="25"/>
      <c r="F5" s="25"/>
      <c r="G5" s="25"/>
      <c r="H5" s="25"/>
      <c r="I5" s="25"/>
      <c r="J5" s="25"/>
      <c r="K5" s="25"/>
    </row>
    <row r="6" spans="1:11" ht="42" customHeight="1">
      <c r="A6" s="25"/>
      <c r="B6" s="617" t="s">
        <v>18</v>
      </c>
      <c r="C6" s="618"/>
      <c r="D6" s="32" t="s">
        <v>1055</v>
      </c>
      <c r="E6" s="25"/>
      <c r="F6" s="25"/>
      <c r="G6" s="25"/>
      <c r="H6" s="25"/>
      <c r="I6" s="25"/>
      <c r="J6" s="25"/>
      <c r="K6" s="25"/>
    </row>
    <row r="7" spans="1:11" ht="42" customHeight="1">
      <c r="A7" s="25"/>
      <c r="B7" s="617" t="s">
        <v>19</v>
      </c>
      <c r="C7" s="618"/>
      <c r="D7" s="32" t="s">
        <v>1060</v>
      </c>
      <c r="E7" s="25"/>
      <c r="F7" s="25"/>
      <c r="G7" s="25"/>
      <c r="H7" s="25"/>
      <c r="I7" s="25"/>
      <c r="J7" s="25"/>
      <c r="K7" s="25"/>
    </row>
    <row r="8" spans="1:11" ht="42" customHeight="1">
      <c r="A8" s="25"/>
      <c r="B8" s="617" t="s">
        <v>20</v>
      </c>
      <c r="C8" s="618"/>
      <c r="D8" s="32" t="s">
        <v>1056</v>
      </c>
      <c r="E8" s="25"/>
      <c r="F8" s="25"/>
      <c r="G8" s="25"/>
      <c r="H8" s="25"/>
      <c r="I8" s="25"/>
      <c r="J8" s="25"/>
      <c r="K8" s="25"/>
    </row>
    <row r="9" spans="1:11" ht="42" customHeight="1">
      <c r="A9" s="25"/>
      <c r="B9" s="617" t="s">
        <v>21</v>
      </c>
      <c r="C9" s="618"/>
      <c r="D9" s="287">
        <v>46006</v>
      </c>
      <c r="E9" s="25"/>
      <c r="F9" s="25"/>
      <c r="G9" s="25"/>
      <c r="H9" s="25"/>
      <c r="I9" s="25"/>
      <c r="J9" s="25"/>
      <c r="K9" s="25"/>
    </row>
    <row r="10" spans="1:11" ht="42" customHeight="1">
      <c r="A10" s="25"/>
      <c r="B10" s="617" t="s">
        <v>22</v>
      </c>
      <c r="C10" s="618"/>
      <c r="D10" s="32"/>
      <c r="E10" s="25"/>
      <c r="F10" s="25"/>
      <c r="G10" s="25"/>
      <c r="H10" s="25"/>
      <c r="I10" s="25"/>
      <c r="J10" s="25"/>
      <c r="K10" s="25"/>
    </row>
    <row r="11" spans="1:11" ht="42" customHeight="1" thickBot="1">
      <c r="A11" s="25"/>
      <c r="B11" s="623" t="s">
        <v>23</v>
      </c>
      <c r="C11" s="624"/>
      <c r="D11" s="201" t="s">
        <v>1057</v>
      </c>
      <c r="E11" s="25"/>
      <c r="F11" s="25"/>
      <c r="G11" s="25"/>
      <c r="H11" s="25"/>
      <c r="I11" s="25"/>
      <c r="J11" s="25"/>
      <c r="K11" s="25"/>
    </row>
    <row r="12" spans="1:11" ht="42" customHeight="1" thickBot="1">
      <c r="A12" s="25"/>
      <c r="B12" s="56" t="s">
        <v>24</v>
      </c>
      <c r="C12" s="145"/>
      <c r="D12" s="146"/>
      <c r="E12" s="25"/>
      <c r="F12" s="25"/>
      <c r="G12" s="25"/>
      <c r="H12" s="25"/>
      <c r="I12" s="25"/>
      <c r="J12" s="25"/>
      <c r="K12" s="25"/>
    </row>
    <row r="13" spans="1:11" ht="42" customHeight="1">
      <c r="A13" s="25"/>
      <c r="B13" s="626" t="s">
        <v>25</v>
      </c>
      <c r="C13" s="147" t="s">
        <v>26</v>
      </c>
      <c r="D13" s="33">
        <v>10</v>
      </c>
      <c r="E13" s="630" t="str">
        <f>IF(D13&lt;10,"Caution - % target reduced below default ▲",IF(D13&gt;10,"Caution -Target increased above default ⚠",""))</f>
        <v/>
      </c>
      <c r="F13" s="631"/>
      <c r="G13" s="631"/>
      <c r="H13" s="631"/>
      <c r="I13" s="631"/>
      <c r="J13" s="435"/>
      <c r="K13" s="25"/>
    </row>
    <row r="14" spans="1:11" ht="42" customHeight="1">
      <c r="A14" s="25"/>
      <c r="B14" s="627"/>
      <c r="C14" s="148" t="s">
        <v>27</v>
      </c>
      <c r="D14" s="34">
        <v>10</v>
      </c>
      <c r="E14" s="630" t="str">
        <f t="shared" ref="E14:E15" si="0">IF(D14&lt;10,"Caution - % target reduced below default ▲",IF(D14&gt;10,"Caution -Target increased above default ⚠",""))</f>
        <v/>
      </c>
      <c r="F14" s="631"/>
      <c r="G14" s="631"/>
      <c r="H14" s="631"/>
      <c r="I14" s="631"/>
      <c r="J14" s="25"/>
      <c r="K14" s="25"/>
    </row>
    <row r="15" spans="1:11" ht="42" customHeight="1" thickBot="1">
      <c r="A15" s="25"/>
      <c r="B15" s="628"/>
      <c r="C15" s="149" t="s">
        <v>28</v>
      </c>
      <c r="D15" s="35">
        <v>10</v>
      </c>
      <c r="E15" s="630" t="str">
        <f t="shared" si="0"/>
        <v/>
      </c>
      <c r="F15" s="631"/>
      <c r="G15" s="631"/>
      <c r="H15" s="631"/>
      <c r="I15" s="631"/>
      <c r="J15" s="25"/>
      <c r="K15" s="25"/>
    </row>
    <row r="16" spans="1:11" ht="36.75" customHeight="1" thickBot="1">
      <c r="A16" s="25"/>
      <c r="B16" s="153"/>
      <c r="C16" s="153"/>
      <c r="D16" s="501"/>
      <c r="E16" s="25"/>
      <c r="F16" s="25"/>
      <c r="G16" s="25"/>
      <c r="H16" s="25"/>
      <c r="I16" s="25"/>
      <c r="J16" s="25"/>
      <c r="K16" s="25"/>
    </row>
    <row r="17" spans="1:11" ht="41.1" customHeight="1">
      <c r="A17" s="25"/>
      <c r="B17" s="626" t="s">
        <v>1032</v>
      </c>
      <c r="C17" s="147" t="s">
        <v>29</v>
      </c>
      <c r="D17" s="33">
        <v>0</v>
      </c>
      <c r="E17" s="629" t="str">
        <f>IF(D17=0,"","Unit increase Targets must be agreed with LPA ⚠")</f>
        <v/>
      </c>
      <c r="F17" s="629"/>
      <c r="G17" s="629"/>
      <c r="H17" s="629"/>
      <c r="I17" s="629"/>
      <c r="J17" s="25"/>
      <c r="K17" s="25"/>
    </row>
    <row r="18" spans="1:11" ht="41.1" customHeight="1">
      <c r="A18" s="25"/>
      <c r="B18" s="627"/>
      <c r="C18" s="148" t="s">
        <v>30</v>
      </c>
      <c r="D18" s="34">
        <v>0</v>
      </c>
      <c r="E18" s="629" t="str">
        <f t="shared" ref="E18:E19" si="1">IF(D18=0,"","Unit increase Targets must be agreed with LPA ⚠")</f>
        <v/>
      </c>
      <c r="F18" s="629"/>
      <c r="G18" s="629"/>
      <c r="H18" s="629"/>
      <c r="I18" s="629"/>
      <c r="J18" s="25"/>
      <c r="K18" s="25"/>
    </row>
    <row r="19" spans="1:11" ht="41.1" customHeight="1" thickBot="1">
      <c r="A19" s="25"/>
      <c r="B19" s="628"/>
      <c r="C19" s="149" t="s">
        <v>31</v>
      </c>
      <c r="D19" s="35">
        <v>0</v>
      </c>
      <c r="E19" s="629" t="str">
        <f t="shared" si="1"/>
        <v/>
      </c>
      <c r="F19" s="629"/>
      <c r="G19" s="629"/>
      <c r="H19" s="629"/>
      <c r="I19" s="629"/>
      <c r="J19" s="25"/>
      <c r="K19" s="25"/>
    </row>
    <row r="20" spans="1:11" ht="23.45" customHeight="1">
      <c r="A20" s="25"/>
      <c r="B20" s="25"/>
      <c r="C20" s="25"/>
      <c r="D20" s="25"/>
      <c r="E20" s="153"/>
      <c r="F20" s="153"/>
      <c r="G20" s="153"/>
      <c r="H20" s="153"/>
      <c r="I20" s="153"/>
      <c r="J20" s="25"/>
      <c r="K20" s="25"/>
    </row>
    <row r="21" spans="1:11" ht="34.35" customHeight="1" thickBot="1">
      <c r="A21" s="25"/>
      <c r="B21" s="625" t="s">
        <v>32</v>
      </c>
      <c r="C21" s="625"/>
      <c r="D21" s="625"/>
      <c r="E21" s="153"/>
      <c r="F21" s="153"/>
      <c r="G21" s="153"/>
      <c r="H21" s="153"/>
      <c r="I21" s="153"/>
      <c r="J21" s="25"/>
      <c r="K21" s="25"/>
    </row>
    <row r="22" spans="1:11" ht="41.1" customHeight="1">
      <c r="A22" s="25"/>
      <c r="B22" s="621" t="s">
        <v>33</v>
      </c>
      <c r="C22" s="622"/>
      <c r="D22" s="31"/>
      <c r="E22" s="153"/>
      <c r="F22" s="153"/>
      <c r="G22" s="153"/>
      <c r="H22" s="153"/>
      <c r="I22" s="153"/>
      <c r="J22" s="25"/>
      <c r="K22" s="25"/>
    </row>
    <row r="23" spans="1:11" ht="41.1" customHeight="1" thickBot="1">
      <c r="A23" s="25"/>
      <c r="B23" s="623" t="s">
        <v>34</v>
      </c>
      <c r="C23" s="624"/>
      <c r="D23" s="288"/>
      <c r="E23" s="153"/>
      <c r="F23" s="153"/>
      <c r="G23" s="153"/>
      <c r="H23" s="153"/>
      <c r="I23" s="153"/>
      <c r="J23" s="25"/>
      <c r="K23" s="25"/>
    </row>
    <row r="24" spans="1:11" ht="41.1" customHeight="1">
      <c r="A24" s="25"/>
      <c r="B24" s="25"/>
      <c r="C24" s="25"/>
      <c r="D24" s="25"/>
      <c r="E24" s="25"/>
      <c r="F24" s="195"/>
      <c r="G24" s="195"/>
      <c r="H24" s="195"/>
      <c r="I24" s="195"/>
      <c r="J24" s="25"/>
      <c r="K24" s="25"/>
    </row>
    <row r="25" spans="1:11" ht="41.1" hidden="1" customHeight="1">
      <c r="A25" s="25"/>
      <c r="B25" s="25"/>
      <c r="C25" s="25"/>
      <c r="D25" s="25"/>
      <c r="E25" s="25"/>
      <c r="F25" s="195"/>
      <c r="G25" s="195"/>
      <c r="H25" s="195"/>
      <c r="I25" s="195"/>
      <c r="J25" s="25"/>
      <c r="K25" s="25"/>
    </row>
    <row r="26" spans="1:11" ht="41.1" hidden="1" customHeight="1">
      <c r="A26" s="25"/>
      <c r="B26" s="25"/>
      <c r="C26" s="25"/>
      <c r="D26" s="25"/>
      <c r="E26" s="25"/>
      <c r="F26" s="195"/>
      <c r="G26" s="195"/>
      <c r="H26" s="195"/>
      <c r="I26" s="195"/>
      <c r="J26" s="25"/>
      <c r="K26" s="25"/>
    </row>
    <row r="27" spans="1:11" ht="41.1" hidden="1" customHeight="1">
      <c r="A27" s="25"/>
      <c r="B27" s="25"/>
      <c r="C27" s="25"/>
      <c r="D27" s="25"/>
      <c r="E27" s="25"/>
      <c r="F27" s="195"/>
      <c r="G27" s="195"/>
      <c r="H27" s="195"/>
      <c r="I27" s="195"/>
      <c r="J27" s="25"/>
      <c r="K27" s="25"/>
    </row>
    <row r="28" spans="1:11" ht="36.75" hidden="1" customHeight="1">
      <c r="A28" s="25"/>
      <c r="B28" s="25"/>
      <c r="C28" s="25"/>
      <c r="D28" s="25"/>
      <c r="E28" s="25"/>
      <c r="F28" s="25"/>
      <c r="G28" s="25"/>
      <c r="H28" s="25"/>
      <c r="I28" s="25"/>
      <c r="J28" s="25"/>
      <c r="K28" s="25"/>
    </row>
    <row r="29" spans="1:11" ht="14.45" hidden="1" customHeight="1">
      <c r="A29" s="25"/>
      <c r="B29" s="25"/>
      <c r="C29" s="25"/>
      <c r="D29" s="25"/>
      <c r="E29" s="25"/>
      <c r="F29" s="25"/>
      <c r="G29" s="25"/>
      <c r="H29" s="25"/>
      <c r="I29" s="25"/>
      <c r="J29" s="25"/>
      <c r="K29" s="25"/>
    </row>
    <row r="30" spans="1:11" ht="14.45" hidden="1" customHeight="1">
      <c r="A30" s="25"/>
      <c r="B30" s="25"/>
      <c r="C30" s="25"/>
      <c r="D30" s="25"/>
      <c r="E30" s="25"/>
      <c r="F30" s="25"/>
      <c r="G30" s="25"/>
      <c r="H30" s="25"/>
      <c r="I30" s="25"/>
      <c r="J30" s="25"/>
      <c r="K30" s="25"/>
    </row>
    <row r="31" spans="1:11" ht="14.45" hidden="1" customHeight="1">
      <c r="A31" s="25"/>
      <c r="B31" s="25"/>
      <c r="C31" s="25"/>
      <c r="D31" s="25"/>
      <c r="E31" s="25"/>
      <c r="F31" s="25"/>
      <c r="G31" s="25"/>
      <c r="H31" s="25"/>
      <c r="I31" s="25"/>
      <c r="J31" s="25"/>
      <c r="K31" s="25"/>
    </row>
    <row r="32" spans="1:11" ht="14.4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5" hidden="1">
      <c r="A34" s="25"/>
      <c r="B34" s="25"/>
      <c r="C34" s="25"/>
      <c r="D34" s="25"/>
      <c r="E34" s="25"/>
      <c r="F34" s="25"/>
      <c r="G34" s="25"/>
      <c r="H34" s="25"/>
      <c r="I34" s="25"/>
      <c r="J34" s="25"/>
      <c r="K34" s="25"/>
    </row>
    <row r="35" spans="1:11" ht="15" hidden="1">
      <c r="A35" s="25"/>
      <c r="B35" s="25"/>
      <c r="C35" s="25"/>
      <c r="D35" s="25"/>
      <c r="E35" s="25"/>
      <c r="F35" s="25"/>
      <c r="G35" s="25"/>
      <c r="H35" s="25"/>
      <c r="I35" s="25"/>
      <c r="J35" s="25"/>
      <c r="K35" s="25"/>
    </row>
    <row r="36" spans="1:11" ht="15" hidden="1">
      <c r="A36" s="25"/>
      <c r="B36" s="25"/>
      <c r="C36" s="25"/>
      <c r="D36" s="25"/>
      <c r="E36" s="25"/>
      <c r="F36" s="25"/>
      <c r="G36" s="25"/>
      <c r="H36" s="25"/>
      <c r="I36" s="25"/>
      <c r="J36" s="25"/>
      <c r="K36" s="25"/>
    </row>
    <row r="37" spans="1:11" ht="15" hidden="1">
      <c r="A37" s="25"/>
      <c r="B37" s="25"/>
      <c r="C37" s="25"/>
      <c r="D37" s="25"/>
      <c r="E37" s="25"/>
      <c r="F37" s="25"/>
      <c r="G37" s="25"/>
      <c r="H37" s="25"/>
      <c r="I37" s="25"/>
      <c r="J37" s="25"/>
      <c r="K37" s="25"/>
    </row>
    <row r="38" spans="1:11" ht="15" hidden="1"/>
    <row r="39" spans="1:11" ht="15" hidden="1"/>
  </sheetData>
  <sheetProtection algorithmName="SHA-512" hashValue="5Jv+7qiEd2bDFm3OcE24MygvZkql1/AfRhQuozpsc+p8XnhHThwcsqjN82goL/jbjAu3hrjG4UeBrVNK7rCQfA==" saltValue="Wt1ywmZuMp4y7MfaHQIrag=="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zoomScale="80" zoomScaleNormal="80" workbookViewId="0">
      <selection activeCell="C13" sqref="C13:D13"/>
    </sheetView>
  </sheetViews>
  <sheetFormatPr defaultColWidth="0" defaultRowHeight="15" zeroHeight="1"/>
  <cols>
    <col min="1" max="1" width="4.42578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c r="A1" s="25"/>
      <c r="B1" s="25"/>
      <c r="C1" s="25"/>
      <c r="D1" s="25"/>
      <c r="E1" s="25"/>
      <c r="F1" s="25"/>
      <c r="G1" s="25"/>
      <c r="H1" s="25"/>
      <c r="I1" s="25"/>
      <c r="J1" s="25"/>
      <c r="K1" s="25"/>
      <c r="L1" s="25"/>
      <c r="M1" s="25"/>
      <c r="N1" s="25"/>
    </row>
    <row r="2" spans="1:14" ht="24" customHeight="1">
      <c r="A2" s="53"/>
      <c r="B2" s="200" t="s">
        <v>35</v>
      </c>
      <c r="C2" s="636" t="str">
        <f>IF('2. Site Details'!D4="","Enter site name on 2. Site Details",'2. Site Details'!D4)</f>
        <v>Jolesfield Cottages</v>
      </c>
      <c r="D2" s="637"/>
      <c r="E2" s="25"/>
      <c r="F2" s="25"/>
      <c r="G2" s="25"/>
      <c r="H2" s="25"/>
      <c r="I2" s="25"/>
      <c r="J2" s="25"/>
      <c r="K2" s="25"/>
      <c r="L2" s="25"/>
      <c r="M2" s="25"/>
      <c r="N2" s="25"/>
    </row>
    <row r="3" spans="1:14" ht="24" customHeight="1" thickBot="1">
      <c r="A3" s="53"/>
      <c r="B3" s="199" t="s">
        <v>13</v>
      </c>
      <c r="C3" s="634" t="s">
        <v>36</v>
      </c>
      <c r="D3" s="635"/>
      <c r="E3" s="25"/>
      <c r="F3" s="25"/>
      <c r="G3" s="25"/>
      <c r="H3" s="25"/>
      <c r="I3" s="25"/>
      <c r="J3" s="25"/>
      <c r="K3" s="25"/>
      <c r="L3" s="25"/>
      <c r="M3" s="25"/>
      <c r="N3" s="25"/>
    </row>
    <row r="4" spans="1:14" ht="14.45" customHeight="1">
      <c r="A4" s="53"/>
      <c r="B4" s="53"/>
      <c r="C4" s="53"/>
      <c r="D4" s="53"/>
      <c r="E4" s="25"/>
      <c r="F4" s="25"/>
      <c r="G4" s="25"/>
      <c r="H4" s="25"/>
      <c r="I4" s="25"/>
      <c r="J4" s="25"/>
      <c r="K4" s="25"/>
      <c r="L4" s="25"/>
      <c r="M4" s="25"/>
      <c r="N4" s="25"/>
    </row>
    <row r="5" spans="1:14" ht="36" customHeight="1" thickBot="1">
      <c r="A5" s="40"/>
      <c r="B5" s="56" t="s">
        <v>37</v>
      </c>
      <c r="C5" s="41"/>
      <c r="D5" s="41"/>
      <c r="E5" s="25"/>
      <c r="F5" s="25"/>
      <c r="G5" s="25"/>
      <c r="H5" s="25"/>
      <c r="I5" s="25"/>
      <c r="J5" s="25"/>
      <c r="K5" s="25"/>
      <c r="L5" s="25"/>
      <c r="M5" s="25"/>
      <c r="N5" s="25"/>
    </row>
    <row r="6" spans="1:14" ht="42" customHeight="1">
      <c r="A6" s="25"/>
      <c r="B6" s="37" t="s">
        <v>38</v>
      </c>
      <c r="C6" s="150" t="s">
        <v>1048</v>
      </c>
      <c r="D6" s="202" t="str">
        <f>IF(AND(C6="Residential",C9="Unknown number"),"Site area must be less than 5,000 m2",IF(C6="","","Site area must be less than 10,000 m2"))</f>
        <v>Site area must be less than 10,000 m2</v>
      </c>
      <c r="E6" s="632" t="str">
        <f>IF(AND(C9="Unknown number", C6="Residential"),"Site area limited by unknown number of dwellings ⚠", "")</f>
        <v/>
      </c>
      <c r="F6" s="633"/>
      <c r="G6" s="633"/>
      <c r="H6" s="633"/>
      <c r="I6" s="25"/>
      <c r="J6" s="25"/>
      <c r="K6" s="25"/>
      <c r="L6" s="25"/>
      <c r="M6" s="25"/>
      <c r="N6" s="25"/>
    </row>
    <row r="7" spans="1:14" ht="42" customHeight="1">
      <c r="A7" s="25"/>
      <c r="B7" s="42" t="s">
        <v>39</v>
      </c>
      <c r="C7" s="151">
        <v>8705</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17. Number of dwellings proposed within the development site</v>
      </c>
      <c r="C9" s="152" t="s">
        <v>1049</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1033</v>
      </c>
      <c r="C10" s="43"/>
      <c r="D10" s="44"/>
      <c r="E10" s="25"/>
      <c r="F10" s="25"/>
      <c r="G10" s="25"/>
      <c r="H10" s="25"/>
      <c r="I10" s="25"/>
      <c r="J10" s="25"/>
      <c r="K10" s="25"/>
      <c r="L10" s="25"/>
      <c r="M10" s="25"/>
      <c r="N10" s="25"/>
    </row>
    <row r="11" spans="1:14" ht="42" customHeight="1">
      <c r="A11" s="25"/>
      <c r="B11" s="37" t="s">
        <v>40</v>
      </c>
      <c r="C11" s="150" t="s">
        <v>1050</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41</v>
      </c>
      <c r="C12" s="151" t="s">
        <v>1050</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349999999999994" customHeight="1">
      <c r="A13" s="25"/>
      <c r="B13" s="42" t="s">
        <v>42</v>
      </c>
      <c r="C13" s="638"/>
      <c r="D13" s="639"/>
      <c r="E13" s="25"/>
      <c r="F13" s="25"/>
      <c r="G13" s="25"/>
      <c r="H13" s="25"/>
      <c r="I13" s="25"/>
      <c r="J13" s="25"/>
      <c r="K13" s="25"/>
      <c r="L13" s="25"/>
      <c r="M13" s="25"/>
      <c r="N13" s="25"/>
    </row>
    <row r="14" spans="1:14" ht="79.349999999999994" customHeight="1" thickBot="1">
      <c r="A14" s="25"/>
      <c r="B14" s="36" t="s">
        <v>43</v>
      </c>
      <c r="C14" s="640" t="s">
        <v>1061</v>
      </c>
      <c r="D14" s="641"/>
      <c r="E14" s="25"/>
      <c r="F14" s="25"/>
      <c r="G14" s="25"/>
      <c r="H14" s="25"/>
      <c r="I14" s="25"/>
      <c r="J14" s="25"/>
      <c r="K14" s="25"/>
      <c r="L14" s="25"/>
      <c r="M14" s="25"/>
      <c r="N14" s="25"/>
    </row>
    <row r="15" spans="1:14" ht="36" customHeight="1" thickBot="1">
      <c r="A15" s="25"/>
      <c r="B15" s="562" t="s">
        <v>1034</v>
      </c>
      <c r="C15" s="25"/>
      <c r="D15" s="25"/>
      <c r="E15" s="25"/>
      <c r="F15" s="25"/>
      <c r="G15" s="25"/>
      <c r="H15" s="25"/>
      <c r="I15" s="25"/>
      <c r="J15" s="25"/>
      <c r="K15" s="25"/>
      <c r="L15" s="25"/>
      <c r="M15" s="25"/>
      <c r="N15" s="25"/>
    </row>
    <row r="16" spans="1:14" ht="42" customHeight="1" thickBot="1">
      <c r="A16" s="25"/>
      <c r="B16" s="160" t="s">
        <v>1035</v>
      </c>
      <c r="C16" s="563" t="s">
        <v>1050</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44</v>
      </c>
      <c r="C18" s="25"/>
      <c r="D18" s="25"/>
      <c r="E18" s="25"/>
      <c r="F18" s="25"/>
      <c r="G18" s="25"/>
      <c r="H18" s="25"/>
      <c r="I18" s="25"/>
      <c r="J18" s="25"/>
      <c r="K18" s="25"/>
      <c r="L18" s="25"/>
      <c r="M18" s="25"/>
      <c r="N18" s="25"/>
    </row>
    <row r="19" spans="1:14" ht="36" customHeight="1">
      <c r="A19" s="25"/>
      <c r="B19" s="37" t="s">
        <v>1036</v>
      </c>
      <c r="C19" s="150" t="s">
        <v>1051</v>
      </c>
      <c r="D19" s="45" t="str">
        <f>IF(C19="Walkover completed by competent person","A competent person should be able to confidently identify the habitats onsite",IF(C19="No Walkover Undertaken","ERROR- Site walkover required",""))</f>
        <v/>
      </c>
      <c r="E19" s="25"/>
      <c r="F19" s="25"/>
      <c r="G19" s="25"/>
      <c r="H19" s="25"/>
      <c r="I19" s="25"/>
      <c r="J19" s="25"/>
      <c r="K19" s="25"/>
      <c r="L19" s="25"/>
      <c r="M19" s="25"/>
      <c r="N19" s="25"/>
    </row>
    <row r="20" spans="1:14" ht="79.349999999999994" customHeight="1">
      <c r="A20" s="25"/>
      <c r="B20" s="42" t="s">
        <v>1037</v>
      </c>
      <c r="C20" s="161">
        <v>45954</v>
      </c>
      <c r="D20" s="162" t="str">
        <f>IF(C20="","Walkover date required ▲","Site walkover data valid until "&amp;TEXT(EDATE(C20,6),"dd/mm/yy"))</f>
        <v>Site walkover data valid until 24/04/26</v>
      </c>
      <c r="E20" s="25"/>
      <c r="F20" s="25"/>
      <c r="G20" s="25"/>
      <c r="H20" s="25"/>
      <c r="I20" s="25"/>
      <c r="J20" s="25"/>
      <c r="K20" s="25"/>
      <c r="L20" s="25"/>
      <c r="M20" s="25"/>
      <c r="N20" s="25"/>
    </row>
    <row r="21" spans="1:14" ht="39.6" customHeight="1" thickBot="1">
      <c r="A21" s="25"/>
      <c r="B21" s="36" t="s">
        <v>1038</v>
      </c>
      <c r="C21" s="560" t="s">
        <v>1058</v>
      </c>
      <c r="D21" s="561"/>
      <c r="E21" s="25"/>
      <c r="F21" s="25"/>
      <c r="G21" s="25"/>
      <c r="H21" s="25"/>
      <c r="I21" s="25"/>
      <c r="J21" s="25"/>
      <c r="K21" s="25"/>
      <c r="L21" s="25"/>
      <c r="M21" s="25"/>
      <c r="N21" s="25"/>
    </row>
    <row r="22" spans="1:14" ht="26.45" customHeight="1" thickBot="1">
      <c r="A22" s="25"/>
      <c r="B22" s="56" t="s">
        <v>45</v>
      </c>
      <c r="C22" s="25"/>
      <c r="D22" s="25"/>
      <c r="E22" s="25"/>
      <c r="F22" s="25"/>
      <c r="G22" s="25"/>
      <c r="H22" s="25"/>
      <c r="I22" s="25"/>
      <c r="J22" s="25"/>
      <c r="K22" s="25"/>
      <c r="L22" s="25"/>
      <c r="M22" s="25"/>
      <c r="N22" s="25"/>
    </row>
    <row r="23" spans="1:14" ht="56.45" customHeight="1" thickBot="1">
      <c r="A23" s="25"/>
      <c r="B23" s="160" t="s">
        <v>1039</v>
      </c>
      <c r="C23" s="558"/>
      <c r="D23" s="559"/>
      <c r="E23" s="25"/>
      <c r="F23" s="25"/>
      <c r="G23" s="25"/>
      <c r="H23" s="25"/>
      <c r="I23" s="25"/>
      <c r="J23" s="25"/>
      <c r="K23" s="25"/>
      <c r="L23" s="25"/>
      <c r="M23" s="25"/>
      <c r="N23" s="25"/>
    </row>
    <row r="24" spans="1:14" ht="14.45" customHeight="1">
      <c r="A24" s="25"/>
      <c r="B24" s="25"/>
      <c r="C24" s="25"/>
      <c r="D24" s="25"/>
      <c r="E24" s="25"/>
      <c r="F24" s="25"/>
      <c r="G24" s="25"/>
      <c r="H24" s="25"/>
      <c r="I24" s="25"/>
      <c r="J24" s="25"/>
      <c r="K24" s="25"/>
      <c r="L24" s="25"/>
      <c r="M24" s="25"/>
      <c r="N24" s="25"/>
    </row>
    <row r="25" spans="1:14" ht="14.4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row r="49" customFormat="1" hidden="1"/>
    <row r="50" customFormat="1" hidden="1"/>
    <row r="51" customFormat="1" hidden="1"/>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80" zoomScaleNormal="80" workbookViewId="0">
      <pane xSplit="2" ySplit="7" topLeftCell="C8" activePane="bottomRight" state="frozen"/>
      <selection pane="topRight" activeCell="C1" sqref="C1"/>
      <selection pane="bottomLeft" activeCell="A8" sqref="A8"/>
      <selection pane="bottomRight" activeCell="E15" sqref="E15"/>
    </sheetView>
  </sheetViews>
  <sheetFormatPr defaultColWidth="8.85546875" defaultRowHeight="15" zeroHeight="1"/>
  <cols>
    <col min="1" max="1" width="3.42578125" customWidth="1"/>
    <col min="2" max="2" width="16.42578125" bestFit="1" customWidth="1"/>
    <col min="3" max="3" width="32.28515625" bestFit="1" customWidth="1"/>
    <col min="4" max="5" width="89.85546875" customWidth="1"/>
    <col min="6" max="7" width="8.85546875" customWidth="1"/>
    <col min="8" max="16382" width="8.85546875" hidden="1" customWidth="1"/>
    <col min="16383" max="16383" width="8.85546875" style="25" customWidth="1"/>
    <col min="16384" max="16384" width="8.85546875" style="25"/>
  </cols>
  <sheetData>
    <row r="1" spans="1:34" ht="15.7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75" customHeight="1">
      <c r="A2" s="25"/>
      <c r="B2" s="646" t="s">
        <v>35</v>
      </c>
      <c r="C2" s="647"/>
      <c r="D2" s="261" t="str">
        <f>IF('2. Site Details'!D4="","Enter site name on 2. Site Details",'2. Site Details'!D4)</f>
        <v>Jolesfield Cottages</v>
      </c>
      <c r="E2" s="649"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75" customHeight="1" thickBot="1">
      <c r="A3" s="25"/>
      <c r="B3" s="642" t="s">
        <v>13</v>
      </c>
      <c r="C3" s="643"/>
      <c r="D3" s="262" t="s">
        <v>46</v>
      </c>
      <c r="E3" s="649"/>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75"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35" customHeight="1">
      <c r="A5" s="25"/>
      <c r="B5" s="57" t="s">
        <v>47</v>
      </c>
      <c r="C5" s="59"/>
      <c r="D5" s="648" t="s">
        <v>48</v>
      </c>
      <c r="E5" s="648"/>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7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75" customHeight="1" thickBot="1">
      <c r="A7" s="25"/>
      <c r="B7" s="187" t="s">
        <v>49</v>
      </c>
      <c r="C7" s="188" t="s">
        <v>50</v>
      </c>
      <c r="D7" s="188" t="s">
        <v>51</v>
      </c>
      <c r="E7" s="189" t="s">
        <v>52</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4">
        <v>1</v>
      </c>
      <c r="C8" s="168" t="s">
        <v>53</v>
      </c>
      <c r="D8" s="398">
        <v>45954</v>
      </c>
      <c r="E8" s="399" t="s">
        <v>1062</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5"/>
      <c r="C9" s="186" t="str">
        <f>IF('5. Area Habitats'!D11=0,"",'5. Area Habitats'!D11)</f>
        <v>Modified grassland</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4">
        <v>2</v>
      </c>
      <c r="C10" s="168" t="s">
        <v>53</v>
      </c>
      <c r="D10" s="398" t="s">
        <v>1062</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5"/>
      <c r="C11" s="186" t="str">
        <f>IF('5. Area Habitats'!D12=0,"",'5. Area Habitats'!D12)</f>
        <v>Mixed scrub</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4">
        <v>3</v>
      </c>
      <c r="C12" s="168" t="s">
        <v>53</v>
      </c>
      <c r="D12" s="398" t="s">
        <v>1062</v>
      </c>
      <c r="E12" s="399" t="s">
        <v>1062</v>
      </c>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5"/>
      <c r="C13" s="186" t="str">
        <f>IF('5. Area Habitats'!D13=0,"",'5. Area Habitats'!D13)</f>
        <v>Other woodland; mixed</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0">
        <v>4</v>
      </c>
      <c r="C14" s="168" t="s">
        <v>53</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1"/>
      <c r="C15" s="190" t="str">
        <f>IF('5. Area Habitats'!D14=0,"",'5. Area Habitats'!D14)</f>
        <v>Ornamental lake or pond</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4">
        <v>5</v>
      </c>
      <c r="C16" s="168" t="s">
        <v>53</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5"/>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4">
        <v>6</v>
      </c>
      <c r="C18" s="168" t="s">
        <v>53</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5"/>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4">
        <v>7</v>
      </c>
      <c r="C20" s="168" t="s">
        <v>53</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5"/>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4">
        <v>8</v>
      </c>
      <c r="C22" s="168" t="s">
        <v>53</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5"/>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4">
        <v>9</v>
      </c>
      <c r="C24" s="168" t="s">
        <v>53</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5"/>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4">
        <v>10</v>
      </c>
      <c r="C26" s="168" t="s">
        <v>53</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5"/>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4">
        <v>11</v>
      </c>
      <c r="C28" s="168" t="s">
        <v>53</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5"/>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4">
        <v>12</v>
      </c>
      <c r="C30" s="168" t="s">
        <v>53</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5"/>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4">
        <v>13</v>
      </c>
      <c r="C32" s="168" t="s">
        <v>53</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5"/>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4">
        <v>14</v>
      </c>
      <c r="C34" s="168" t="s">
        <v>53</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5"/>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4">
        <v>15</v>
      </c>
      <c r="C36" s="168" t="s">
        <v>53</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5"/>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4">
        <v>16</v>
      </c>
      <c r="C38" s="168" t="s">
        <v>53</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5"/>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4">
        <v>17</v>
      </c>
      <c r="C40" s="168" t="s">
        <v>53</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5"/>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4">
        <v>18</v>
      </c>
      <c r="C42" s="168" t="s">
        <v>53</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5"/>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4">
        <v>19</v>
      </c>
      <c r="C44" s="168" t="s">
        <v>53</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5"/>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4">
        <v>20</v>
      </c>
      <c r="C46" s="168" t="s">
        <v>53</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5"/>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58" zoomScale="73" zoomScaleNormal="127" workbookViewId="0">
      <selection activeCell="G98" sqref="G98:H98"/>
    </sheetView>
  </sheetViews>
  <sheetFormatPr defaultColWidth="8.85546875" defaultRowHeight="15" zeroHeight="1"/>
  <cols>
    <col min="1" max="1" width="4.42578125" customWidth="1"/>
    <col min="2" max="2" width="14.85546875" customWidth="1"/>
    <col min="3" max="3" width="26.42578125" bestFit="1" customWidth="1"/>
    <col min="4" max="4" width="62.7109375" customWidth="1"/>
    <col min="5" max="5" width="22" customWidth="1"/>
    <col min="6" max="6" width="18.42578125" customWidth="1"/>
    <col min="7" max="7" width="39.7109375" customWidth="1"/>
    <col min="8" max="8" width="62.42578125" customWidth="1"/>
    <col min="9" max="9" width="14.42578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2.28515625" customWidth="1"/>
    <col min="20" max="20" width="13"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29" width="26.42578125" customWidth="1"/>
    <col min="30" max="30" width="50" customWidth="1"/>
    <col min="31" max="31" width="18.7109375" customWidth="1"/>
    <col min="32" max="32" width="23.7109375" customWidth="1"/>
    <col min="33" max="33" width="16.7109375" customWidth="1"/>
    <col min="34" max="34" width="35.7109375" customWidth="1"/>
    <col min="35" max="35" width="76.28515625" customWidth="1"/>
    <col min="36" max="36" width="22.28515625" customWidth="1"/>
    <col min="37" max="39" width="22.28515625" hidden="1" customWidth="1"/>
    <col min="40" max="40" width="20.425781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42578125" customWidth="1"/>
    <col min="52" max="52" width="14.28515625" customWidth="1"/>
    <col min="53" max="53" width="26.42578125" customWidth="1"/>
    <col min="54" max="73" width="26.140625" customWidth="1"/>
    <col min="74" max="74" width="11.42578125" customWidth="1"/>
    <col min="75" max="77" width="8.85546875" customWidth="1"/>
    <col min="78" max="16379" width="8.85546875" hidden="1" customWidth="1"/>
    <col min="16380" max="16383" width="8.85546875" customWidth="1"/>
  </cols>
  <sheetData>
    <row r="1" spans="1:128" ht="15.75" customHeight="1" thickBot="1">
      <c r="A1" s="25"/>
      <c r="B1" s="25"/>
      <c r="C1" s="25"/>
      <c r="D1" s="25"/>
      <c r="E1" s="25"/>
      <c r="F1" s="25"/>
      <c r="G1" s="25"/>
      <c r="H1" s="25"/>
      <c r="I1" s="52"/>
      <c r="J1" s="52"/>
      <c r="K1" s="52"/>
      <c r="L1" s="52"/>
      <c r="M1" s="52"/>
      <c r="N1" s="52"/>
      <c r="O1" s="154" t="s">
        <v>54</v>
      </c>
      <c r="P1" s="277">
        <f>IFERROR(SUM(AE11:AE31), "Error ▲")</f>
        <v>3.3686760000000002</v>
      </c>
      <c r="Q1" s="25"/>
      <c r="R1" s="739" t="s">
        <v>55</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20.100000000000001" customHeight="1">
      <c r="A2" s="25"/>
      <c r="B2" s="80" t="s">
        <v>56</v>
      </c>
      <c r="C2" s="702" t="str">
        <f>IF('2. Site Details'!D4="","Enter site name on 2. Site Details",'2. Site Details'!D4)</f>
        <v>Jolesfield Cottages</v>
      </c>
      <c r="D2" s="703"/>
      <c r="E2" s="25"/>
      <c r="F2" s="768" t="s">
        <v>57</v>
      </c>
      <c r="G2" s="769"/>
      <c r="H2" s="770"/>
      <c r="I2" s="81"/>
      <c r="J2" s="782" t="str" cm="1">
        <f t="array" ref="J2">IFERROR(IF(OR((ISNUMBER(SEARCH("▲",A7:Q101)))),"Input Errors Present On Sheet - Red Cells Or ▲ Highlight Errors","All Key Rules Satisfied ✓ "),"Technical Errors On Sheet ▲")</f>
        <v xml:space="preserve">All Key Rules Satisfied ✓ </v>
      </c>
      <c r="K2" s="782"/>
      <c r="L2" s="782"/>
      <c r="M2" s="782"/>
      <c r="N2" s="81"/>
      <c r="O2" s="83" t="s">
        <v>58</v>
      </c>
      <c r="P2" s="277">
        <f>IFERROR(N32, "Error ▲")</f>
        <v>1.2865901759999998</v>
      </c>
      <c r="Q2" s="25"/>
      <c r="R2" s="739"/>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20.100000000000001" customHeight="1" thickBot="1">
      <c r="A3" s="25"/>
      <c r="B3" s="82" t="s">
        <v>13</v>
      </c>
      <c r="C3" s="704" t="s">
        <v>59</v>
      </c>
      <c r="D3" s="705"/>
      <c r="E3" s="25"/>
      <c r="F3" s="771"/>
      <c r="G3" s="772"/>
      <c r="H3" s="773"/>
      <c r="I3" s="81"/>
      <c r="J3" s="782"/>
      <c r="K3" s="782"/>
      <c r="L3" s="782"/>
      <c r="M3" s="782"/>
      <c r="N3" s="81"/>
      <c r="O3" s="83" t="s">
        <v>60</v>
      </c>
      <c r="P3" s="277">
        <f>IFERROR(L61, "Error ▲")</f>
        <v>1.7542084940410014</v>
      </c>
      <c r="Q3" s="25"/>
      <c r="R3" s="739"/>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20.100000000000001" customHeight="1">
      <c r="A4" s="25"/>
      <c r="B4" s="84"/>
      <c r="C4" s="84"/>
      <c r="D4" s="84"/>
      <c r="E4" s="25"/>
      <c r="F4" s="771"/>
      <c r="G4" s="772"/>
      <c r="H4" s="773"/>
      <c r="I4" s="81"/>
      <c r="J4" s="782"/>
      <c r="K4" s="782"/>
      <c r="L4" s="782"/>
      <c r="M4" s="782"/>
      <c r="N4" s="81"/>
      <c r="O4" s="83" t="s">
        <v>61</v>
      </c>
      <c r="P4" s="277">
        <f>IFERROR(L89, "Error ▲")</f>
        <v>0</v>
      </c>
      <c r="Q4" s="25"/>
      <c r="R4" s="739"/>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20.100000000000001" customHeight="1" thickBot="1">
      <c r="A5" s="85"/>
      <c r="B5" s="25"/>
      <c r="C5" s="25"/>
      <c r="D5" s="25"/>
      <c r="E5" s="25"/>
      <c r="F5" s="771"/>
      <c r="G5" s="772"/>
      <c r="H5" s="773"/>
      <c r="I5" s="81"/>
      <c r="J5" s="782"/>
      <c r="K5" s="782"/>
      <c r="L5" s="782"/>
      <c r="M5" s="782"/>
      <c r="N5" s="81"/>
      <c r="O5" s="86" t="s">
        <v>62</v>
      </c>
      <c r="P5" s="278">
        <f>IFERROR((P1+L61+L89)-L32, "Error ▲")</f>
        <v>0.46761831804100229</v>
      </c>
      <c r="Q5" s="25"/>
      <c r="R5" s="739"/>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35" customHeight="1" thickBot="1">
      <c r="A6" s="85"/>
      <c r="B6" s="25"/>
      <c r="C6" s="25"/>
      <c r="D6" s="25"/>
      <c r="E6" s="25"/>
      <c r="F6" s="774"/>
      <c r="G6" s="775"/>
      <c r="H6" s="776"/>
      <c r="I6" s="52"/>
      <c r="J6" s="52"/>
      <c r="K6" s="52"/>
      <c r="L6" s="52"/>
      <c r="M6" s="52"/>
      <c r="N6" s="52"/>
      <c r="O6" s="87"/>
      <c r="P6" s="87"/>
      <c r="Q6" s="25"/>
      <c r="R6" s="739"/>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350000000000001" customHeight="1">
      <c r="A7" s="25"/>
      <c r="B7" s="57" t="s">
        <v>63</v>
      </c>
      <c r="C7" s="25"/>
      <c r="D7" s="88"/>
      <c r="E7" s="25"/>
      <c r="F7" s="25"/>
      <c r="G7" s="25"/>
      <c r="H7" s="26"/>
      <c r="I7" s="25"/>
      <c r="J7" s="25"/>
      <c r="K7" s="26"/>
      <c r="L7" s="30"/>
      <c r="M7" s="30"/>
      <c r="N7" s="30"/>
      <c r="O7" s="25"/>
      <c r="P7" s="25"/>
      <c r="Q7" s="25"/>
      <c r="R7" s="739"/>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1.1" customHeight="1" thickBot="1">
      <c r="A8" s="89"/>
      <c r="B8" s="25"/>
      <c r="C8" s="25"/>
      <c r="D8" s="25"/>
      <c r="E8" s="25"/>
      <c r="F8" s="25"/>
      <c r="G8" s="25"/>
      <c r="H8" s="25"/>
      <c r="I8" s="25"/>
      <c r="J8" s="25"/>
      <c r="K8" s="25"/>
      <c r="L8" s="25"/>
      <c r="M8" s="25"/>
      <c r="N8" s="25"/>
      <c r="O8" s="25"/>
      <c r="P8" s="25"/>
      <c r="Q8" s="25"/>
      <c r="R8" s="739"/>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45" customHeight="1">
      <c r="A9" s="89"/>
      <c r="B9" s="717" t="s">
        <v>49</v>
      </c>
      <c r="C9" s="706" t="s">
        <v>64</v>
      </c>
      <c r="D9" s="716"/>
      <c r="E9" s="708"/>
      <c r="F9" s="652" t="s">
        <v>65</v>
      </c>
      <c r="G9" s="780"/>
      <c r="H9" s="653"/>
      <c r="I9" s="706" t="s">
        <v>66</v>
      </c>
      <c r="J9" s="716"/>
      <c r="K9" s="708"/>
      <c r="L9" s="794" t="s">
        <v>67</v>
      </c>
      <c r="M9" s="795"/>
      <c r="N9" s="796"/>
      <c r="O9" s="794" t="s">
        <v>68</v>
      </c>
      <c r="P9" s="796"/>
      <c r="Q9" s="25"/>
      <c r="R9" s="739"/>
      <c r="S9" s="25"/>
      <c r="T9" s="682" t="s">
        <v>69</v>
      </c>
      <c r="U9" s="683"/>
      <c r="V9" s="684"/>
      <c r="W9" s="797" t="s">
        <v>70</v>
      </c>
      <c r="X9" s="684"/>
      <c r="Y9" s="798"/>
      <c r="Z9" s="798"/>
      <c r="AA9" s="798"/>
      <c r="AB9" s="682" t="s">
        <v>71</v>
      </c>
      <c r="AC9" s="683"/>
      <c r="AD9" s="684"/>
      <c r="AE9" s="682" t="s">
        <v>72</v>
      </c>
      <c r="AF9" s="683"/>
      <c r="AG9" s="684"/>
      <c r="AH9" s="687" t="s">
        <v>73</v>
      </c>
      <c r="AI9" s="685" t="s">
        <v>74</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2.25" thickBot="1">
      <c r="A10" s="89"/>
      <c r="B10" s="665"/>
      <c r="C10" s="86" t="s">
        <v>75</v>
      </c>
      <c r="D10" s="718" t="s">
        <v>76</v>
      </c>
      <c r="E10" s="719"/>
      <c r="F10" s="654"/>
      <c r="G10" s="781"/>
      <c r="H10" s="655"/>
      <c r="I10" s="86" t="s">
        <v>77</v>
      </c>
      <c r="J10" s="197" t="s">
        <v>78</v>
      </c>
      <c r="K10" s="90" t="s">
        <v>79</v>
      </c>
      <c r="L10" s="86" t="s">
        <v>80</v>
      </c>
      <c r="M10" s="197" t="s">
        <v>81</v>
      </c>
      <c r="N10" s="90" t="s">
        <v>82</v>
      </c>
      <c r="O10" s="86" t="s">
        <v>83</v>
      </c>
      <c r="P10" s="90" t="s">
        <v>84</v>
      </c>
      <c r="Q10" s="25"/>
      <c r="R10" s="739"/>
      <c r="S10" s="25"/>
      <c r="T10" s="783" t="s">
        <v>85</v>
      </c>
      <c r="U10" s="784"/>
      <c r="V10" s="92" t="s">
        <v>86</v>
      </c>
      <c r="W10" s="334" t="s">
        <v>87</v>
      </c>
      <c r="X10" s="92" t="s">
        <v>86</v>
      </c>
      <c r="Y10" s="346"/>
      <c r="Z10" s="346"/>
      <c r="AA10" s="346"/>
      <c r="AB10" s="91" t="s">
        <v>71</v>
      </c>
      <c r="AC10" s="49" t="s">
        <v>71</v>
      </c>
      <c r="AD10" s="92" t="s">
        <v>88</v>
      </c>
      <c r="AE10" s="91" t="s">
        <v>89</v>
      </c>
      <c r="AF10" s="49" t="s">
        <v>90</v>
      </c>
      <c r="AG10" s="92" t="s">
        <v>91</v>
      </c>
      <c r="AH10" s="688"/>
      <c r="AI10" s="686"/>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28.7" customHeight="1">
      <c r="A11" s="89"/>
      <c r="B11" s="263">
        <v>1</v>
      </c>
      <c r="C11" s="258" t="s">
        <v>206</v>
      </c>
      <c r="D11" s="691" t="s">
        <v>309</v>
      </c>
      <c r="E11" s="692"/>
      <c r="F11" s="711" t="s">
        <v>115</v>
      </c>
      <c r="G11" s="712"/>
      <c r="H11" s="713"/>
      <c r="I11" s="305">
        <v>5870</v>
      </c>
      <c r="J11" s="323">
        <v>3776.69</v>
      </c>
      <c r="K11" s="307">
        <v>0</v>
      </c>
      <c r="L11" s="408">
        <f>IF(C11="","",IFERROR(IF(I11="","",((I11/10000)*V11*X11)*AD11),"Error ▲"))</f>
        <v>2.3479999999999999</v>
      </c>
      <c r="M11" s="408">
        <f>IF(I11="","",IF(J11+K11&gt;I11,"Area Error ▲",I11-J11-K11))</f>
        <v>2093.31</v>
      </c>
      <c r="N11" s="409">
        <f>IFERROR(IF(I11="","",IF(M11="Area Error ▲","Area Error ▲",((M11/10000)*V11*X11)*AD11)),"This intervention is not permitted within the SSM ▲")</f>
        <v>0.83732399999999996</v>
      </c>
      <c r="O11" s="67" t="s">
        <v>1052</v>
      </c>
      <c r="P11" s="5"/>
      <c r="Q11" s="25"/>
      <c r="R11" s="739"/>
      <c r="S11" s="25"/>
      <c r="T11" s="785" t="str">
        <f>IF(C11="","",VLOOKUP(D11,'9. All Habitats + Multipliers'!$C$4:$K$102,5,FALSE))</f>
        <v>Low</v>
      </c>
      <c r="U11" s="786"/>
      <c r="V11" s="94">
        <f>IF(T11="","",VLOOKUP(T11,'11. Lists'!$B$47:$D$49,2,FALSE))</f>
        <v>2</v>
      </c>
      <c r="W11" s="184" t="str">
        <f>IF(C11="","",VLOOKUP(D11,'10. Condition and Temporal'!$B$6:$C$103,2,FALSE))</f>
        <v>Moderate</v>
      </c>
      <c r="X11" s="94">
        <f>IF(W11="","",VLOOKUP(W11,'11. Lists'!$F$47:$G$51,2,FALSE))</f>
        <v>2</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1.5106760000000001</v>
      </c>
      <c r="AF11" s="299">
        <f>IF(D11="","",((K11/10000)*V11*X11)*AD11)</f>
        <v>0</v>
      </c>
      <c r="AG11" s="96">
        <f>IF(D11="","",M11)</f>
        <v>2093.31</v>
      </c>
      <c r="AH11" s="511" t="str">
        <f>IF(T11="","",VLOOKUP(T11,'11. Lists'!$B$47:$D$49,3,FALSE))</f>
        <v>Same distinctiveness or better habitat required</v>
      </c>
      <c r="AI11" s="545" t="str">
        <f>IF(D11="","",VLOOKUP(D11,'10. Condition and Temporal'!$B$6:$L$103,4,FALSE))</f>
        <v>Modified grassland, Other lowland acid grassland, Other neutral grassland, Upland acid grassland</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15.6" customHeight="1">
      <c r="A12" s="25"/>
      <c r="B12" s="264">
        <v>2</v>
      </c>
      <c r="C12" s="258" t="s">
        <v>207</v>
      </c>
      <c r="D12" s="689" t="s">
        <v>318</v>
      </c>
      <c r="E12" s="690"/>
      <c r="F12" s="711" t="s">
        <v>115</v>
      </c>
      <c r="G12" s="712"/>
      <c r="H12" s="713"/>
      <c r="I12" s="305">
        <v>570</v>
      </c>
      <c r="J12" s="306">
        <v>570</v>
      </c>
      <c r="K12" s="307">
        <v>0</v>
      </c>
      <c r="L12" s="301">
        <f t="shared" ref="L12:L30" si="0">IF(C12="","",IFERROR(IF(I12="","",((I12/10000)*V12*X12)*AD12),"Error ▲"))</f>
        <v>0.45600000000000002</v>
      </c>
      <c r="M12" s="301">
        <f t="shared" ref="M12:M30" si="1">IF(I12="","",IF(J12+K12&gt;I12,"Area Error ▲",I12-J12-K12))</f>
        <v>0</v>
      </c>
      <c r="N12" s="356">
        <f t="shared" ref="N12:N30" si="2">IFERROR(IF(I12="","",IF(M12="Area Error ▲","Area Error ▲",((M12/10000)*V12*X12)*AD12)),"This intervention is not permitted within the SSM ▲")</f>
        <v>0</v>
      </c>
      <c r="O12" s="68"/>
      <c r="P12" s="3"/>
      <c r="Q12" s="25"/>
      <c r="R12" s="739"/>
      <c r="S12" s="25"/>
      <c r="T12" s="785" t="str">
        <f>IF(C12="","",VLOOKUP(D12,'9. All Habitats + Multipliers'!$C$4:$K$102,5,FALSE))</f>
        <v>Medium</v>
      </c>
      <c r="U12" s="786"/>
      <c r="V12" s="94">
        <f>IF(T12="","",VLOOKUP(T12,'11. Lists'!$B$47:$D$49,2,FALSE))</f>
        <v>4</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0.45600000000000002</v>
      </c>
      <c r="AF12" s="299">
        <f t="shared" ref="AF12:AF30" si="4">IF(D12="","",((K12/10000)*V12*X12)*AD12)</f>
        <v>0</v>
      </c>
      <c r="AG12" s="96">
        <f t="shared" ref="AG12:AG31" si="5">IF(D12="","",M12)</f>
        <v>0</v>
      </c>
      <c r="AH12" s="511" t="str">
        <f>IF(T12="","",VLOOKUP(T12,'11. Lists'!$B$47:$D$49,3,FALSE))</f>
        <v>Same broad habitat or a higher distinctiveness habitat required</v>
      </c>
      <c r="AI12" s="545" t="str">
        <f>IF(D12="","",VLOOKUP(D12,'10. Condition and Temporal'!$B$6:$L$103,4,FALSE))</f>
        <v>Mixed scrub</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37.35" customHeight="1">
      <c r="A13" s="25"/>
      <c r="B13" s="264">
        <v>3</v>
      </c>
      <c r="C13" s="258" t="s">
        <v>213</v>
      </c>
      <c r="D13" s="689" t="s">
        <v>354</v>
      </c>
      <c r="E13" s="690"/>
      <c r="F13" s="711" t="s">
        <v>115</v>
      </c>
      <c r="G13" s="712"/>
      <c r="H13" s="713"/>
      <c r="I13" s="305">
        <v>1240</v>
      </c>
      <c r="J13" s="306">
        <v>1240</v>
      </c>
      <c r="K13" s="307"/>
      <c r="L13" s="301">
        <f t="shared" si="0"/>
        <v>0.99199999999999999</v>
      </c>
      <c r="M13" s="301">
        <f t="shared" si="1"/>
        <v>0</v>
      </c>
      <c r="N13" s="356">
        <f t="shared" si="2"/>
        <v>0</v>
      </c>
      <c r="O13" s="68"/>
      <c r="P13" s="3"/>
      <c r="Q13" s="25"/>
      <c r="R13" s="739"/>
      <c r="S13" s="25"/>
      <c r="T13" s="785" t="str">
        <f>IF(C13="","",VLOOKUP(D13,'9. All Habitats + Multipliers'!$C$4:$K$102,5,FALSE))</f>
        <v>Medium</v>
      </c>
      <c r="U13" s="786"/>
      <c r="V13" s="94">
        <f>IF(T13="","",VLOOKUP(T13,'11. Lists'!$B$47:$D$49,2,FALSE))</f>
        <v>4</v>
      </c>
      <c r="W13" s="184" t="str">
        <f>IF(C13="","",VLOOKUP(D13,'10. Condition and Temporal'!$B$6:$C$103,2,FALSE))</f>
        <v>Moderate</v>
      </c>
      <c r="X13" s="94">
        <f>IF(W13="","",VLOOKUP(W13,'11. Lists'!$F$47:$G$51,2,FALSE))</f>
        <v>2</v>
      </c>
      <c r="Y13" s="48"/>
      <c r="Z13" s="48"/>
      <c r="AA13" s="48"/>
      <c r="AB13" s="93" t="str">
        <f t="shared" ref="AB13:AB30" si="6">IF(F13="","",F13)</f>
        <v>Area/compensation not in local strategy/ no local strategy</v>
      </c>
      <c r="AC13" s="95" t="str">
        <f>IF(AB13="","",VLOOKUP(AB13,'11. Lists'!$F$36:$H$38,2,FALSE))</f>
        <v>Low Strategic Significance</v>
      </c>
      <c r="AD13" s="94">
        <f>IF(AB13="","",VLOOKUP(AB13,'11. Lists'!$F$36:$H$38,3,FALSE))</f>
        <v>1</v>
      </c>
      <c r="AE13" s="298">
        <f t="shared" si="3"/>
        <v>0.99199999999999999</v>
      </c>
      <c r="AF13" s="299">
        <f t="shared" si="4"/>
        <v>0</v>
      </c>
      <c r="AG13" s="96">
        <f t="shared" si="5"/>
        <v>0</v>
      </c>
      <c r="AH13" s="511" t="str">
        <f>IF(T13="","",VLOOKUP(T13,'11. Lists'!$B$47:$D$49,3,FALSE))</f>
        <v>Same broad habitat or a higher distinctiveness habitat required</v>
      </c>
      <c r="AI13" s="545" t="str">
        <f>IF(D13="","",VLOOKUP(D13,'10. Condition and Temporal'!$B$6:$L$103,4,FALSE))</f>
        <v>Other woodland; mixed</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27" customHeight="1">
      <c r="A14" s="25"/>
      <c r="B14" s="264">
        <v>4</v>
      </c>
      <c r="C14" s="258" t="s">
        <v>210</v>
      </c>
      <c r="D14" s="691" t="s">
        <v>322</v>
      </c>
      <c r="E14" s="692"/>
      <c r="F14" s="711" t="s">
        <v>115</v>
      </c>
      <c r="G14" s="712"/>
      <c r="H14" s="713"/>
      <c r="I14" s="305">
        <v>1025</v>
      </c>
      <c r="J14" s="306">
        <v>1025</v>
      </c>
      <c r="K14" s="307"/>
      <c r="L14" s="301">
        <f t="shared" si="0"/>
        <v>0.41</v>
      </c>
      <c r="M14" s="301">
        <f t="shared" si="1"/>
        <v>0</v>
      </c>
      <c r="N14" s="356">
        <f t="shared" si="2"/>
        <v>0</v>
      </c>
      <c r="O14" s="68"/>
      <c r="P14" s="3"/>
      <c r="Q14" s="25"/>
      <c r="R14" s="739"/>
      <c r="S14" s="25"/>
      <c r="T14" s="785" t="str">
        <f>IF(C14="","",VLOOKUP(D14,'9. All Habitats + Multipliers'!$C$4:$K$102,5,FALSE))</f>
        <v>Low</v>
      </c>
      <c r="U14" s="786"/>
      <c r="V14" s="94">
        <f>IF(T14="","",VLOOKUP(T14,'11. Lists'!$B$47:$D$49,2,FALSE))</f>
        <v>2</v>
      </c>
      <c r="W14" s="184" t="str">
        <f>IF(C14="","",VLOOKUP(D14,'10. Condition and Temporal'!$B$6:$C$103,2,FALSE))</f>
        <v>Moderate</v>
      </c>
      <c r="X14" s="94">
        <f>IF(W14="","",VLOOKUP(W14,'11. Lists'!$F$47:$G$51,2,FALSE))</f>
        <v>2</v>
      </c>
      <c r="Y14" s="48"/>
      <c r="Z14" s="48"/>
      <c r="AA14" s="48"/>
      <c r="AB14" s="93" t="str">
        <f t="shared" si="6"/>
        <v>Area/compensation not in local strategy/ no local strategy</v>
      </c>
      <c r="AC14" s="95" t="str">
        <f>IF(AB14="","",VLOOKUP(AB14,'11. Lists'!$F$36:$H$38,2,FALSE))</f>
        <v>Low Strategic Significance</v>
      </c>
      <c r="AD14" s="94">
        <f>IF(AB14="","",VLOOKUP(AB14,'11. Lists'!$F$36:$H$38,3,FALSE))</f>
        <v>1</v>
      </c>
      <c r="AE14" s="298">
        <f t="shared" si="3"/>
        <v>0.41</v>
      </c>
      <c r="AF14" s="299">
        <f t="shared" si="4"/>
        <v>0</v>
      </c>
      <c r="AG14" s="96">
        <f t="shared" si="5"/>
        <v>0</v>
      </c>
      <c r="AH14" s="511" t="str">
        <f>IF(T14="","",VLOOKUP(T14,'11. Lists'!$B$47:$D$49,3,FALSE))</f>
        <v>Same distinctiveness or better habitat required</v>
      </c>
      <c r="AI14" s="545" t="str">
        <f>IF(D14="","",VLOOKUP(D14,'10. Condition and Temporal'!$B$6:$L$103,4,FALSE))</f>
        <v>Ornamental lake or pond, Ponds (non-priority habitat)</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75">
      <c r="A15" s="25"/>
      <c r="B15" s="264">
        <v>5</v>
      </c>
      <c r="C15" s="258"/>
      <c r="D15" s="689"/>
      <c r="E15" s="690"/>
      <c r="F15" s="711"/>
      <c r="G15" s="712"/>
      <c r="H15" s="713"/>
      <c r="I15" s="305"/>
      <c r="J15" s="306"/>
      <c r="K15" s="307"/>
      <c r="L15" s="301" t="str">
        <f t="shared" si="0"/>
        <v/>
      </c>
      <c r="M15" s="301" t="str">
        <f t="shared" si="1"/>
        <v/>
      </c>
      <c r="N15" s="356" t="str">
        <f t="shared" si="2"/>
        <v/>
      </c>
      <c r="O15" s="68"/>
      <c r="P15" s="3"/>
      <c r="Q15" s="25"/>
      <c r="R15" s="739"/>
      <c r="S15" s="25"/>
      <c r="T15" s="785" t="str">
        <f>IF(C15="","",VLOOKUP(D15,'9. All Habitats + Multipliers'!$C$4:$K$102,5,FALSE))</f>
        <v/>
      </c>
      <c r="U15" s="786"/>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75">
      <c r="A16" s="25"/>
      <c r="B16" s="264">
        <v>6</v>
      </c>
      <c r="C16" s="258"/>
      <c r="D16" s="689"/>
      <c r="E16" s="690"/>
      <c r="F16" s="711"/>
      <c r="G16" s="712"/>
      <c r="H16" s="713"/>
      <c r="I16" s="305"/>
      <c r="J16" s="306"/>
      <c r="K16" s="307"/>
      <c r="L16" s="301" t="str">
        <f t="shared" si="0"/>
        <v/>
      </c>
      <c r="M16" s="301" t="str">
        <f t="shared" si="1"/>
        <v/>
      </c>
      <c r="N16" s="356" t="str">
        <f t="shared" si="2"/>
        <v/>
      </c>
      <c r="O16" s="68"/>
      <c r="P16" s="3"/>
      <c r="Q16" s="25"/>
      <c r="R16" s="739"/>
      <c r="S16" s="25"/>
      <c r="T16" s="785" t="str">
        <f>IF(C16="","",VLOOKUP(D16,'9. All Habitats + Multipliers'!$C$4:$K$102,5,FALSE))</f>
        <v/>
      </c>
      <c r="U16" s="786"/>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75">
      <c r="A17" s="25"/>
      <c r="B17" s="264">
        <v>7</v>
      </c>
      <c r="C17" s="258"/>
      <c r="D17" s="689"/>
      <c r="E17" s="690"/>
      <c r="F17" s="711"/>
      <c r="G17" s="712"/>
      <c r="H17" s="713"/>
      <c r="I17" s="305"/>
      <c r="J17" s="306"/>
      <c r="K17" s="307"/>
      <c r="L17" s="301" t="str">
        <f t="shared" si="0"/>
        <v/>
      </c>
      <c r="M17" s="301" t="str">
        <f t="shared" si="1"/>
        <v/>
      </c>
      <c r="N17" s="356" t="str">
        <f t="shared" si="2"/>
        <v/>
      </c>
      <c r="O17" s="68"/>
      <c r="P17" s="3"/>
      <c r="Q17" s="25"/>
      <c r="R17" s="739"/>
      <c r="S17" s="25"/>
      <c r="T17" s="785" t="str">
        <f>IF(C17="","",VLOOKUP(D17,'9. All Habitats + Multipliers'!$C$4:$K$102,5,FALSE))</f>
        <v/>
      </c>
      <c r="U17" s="786"/>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75">
      <c r="A18" s="25"/>
      <c r="B18" s="264">
        <v>8</v>
      </c>
      <c r="C18" s="258"/>
      <c r="D18" s="689"/>
      <c r="E18" s="690"/>
      <c r="F18" s="711"/>
      <c r="G18" s="712"/>
      <c r="H18" s="713"/>
      <c r="I18" s="305"/>
      <c r="J18" s="306"/>
      <c r="K18" s="307"/>
      <c r="L18" s="301" t="str">
        <f t="shared" si="0"/>
        <v/>
      </c>
      <c r="M18" s="301" t="str">
        <f t="shared" si="1"/>
        <v/>
      </c>
      <c r="N18" s="356" t="str">
        <f t="shared" si="2"/>
        <v/>
      </c>
      <c r="O18" s="68"/>
      <c r="P18" s="3"/>
      <c r="Q18" s="25"/>
      <c r="R18" s="739"/>
      <c r="S18" s="25"/>
      <c r="T18" s="785" t="str">
        <f>IF(C18="","",VLOOKUP(D18,'9. All Habitats + Multipliers'!$C$4:$K$102,5,FALSE))</f>
        <v/>
      </c>
      <c r="U18" s="786"/>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75">
      <c r="A19" s="25"/>
      <c r="B19" s="264">
        <v>9</v>
      </c>
      <c r="C19" s="258"/>
      <c r="D19" s="689"/>
      <c r="E19" s="690"/>
      <c r="F19" s="711"/>
      <c r="G19" s="712"/>
      <c r="H19" s="713"/>
      <c r="I19" s="305"/>
      <c r="J19" s="306"/>
      <c r="K19" s="307"/>
      <c r="L19" s="301" t="str">
        <f t="shared" si="0"/>
        <v/>
      </c>
      <c r="M19" s="301" t="str">
        <f t="shared" si="1"/>
        <v/>
      </c>
      <c r="N19" s="356" t="str">
        <f t="shared" si="2"/>
        <v/>
      </c>
      <c r="O19" s="68"/>
      <c r="P19" s="3"/>
      <c r="Q19" s="25"/>
      <c r="R19" s="739"/>
      <c r="S19" s="25"/>
      <c r="T19" s="785" t="str">
        <f>IF(C19="","",VLOOKUP(D19,'9. All Habitats + Multipliers'!$C$4:$K$102,5,FALSE))</f>
        <v/>
      </c>
      <c r="U19" s="786"/>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75">
      <c r="A20" s="25"/>
      <c r="B20" s="264">
        <v>10</v>
      </c>
      <c r="C20" s="258"/>
      <c r="D20" s="689"/>
      <c r="E20" s="690"/>
      <c r="F20" s="711"/>
      <c r="G20" s="712"/>
      <c r="H20" s="713"/>
      <c r="I20" s="305"/>
      <c r="J20" s="306"/>
      <c r="K20" s="307"/>
      <c r="L20" s="301" t="str">
        <f t="shared" si="0"/>
        <v/>
      </c>
      <c r="M20" s="301" t="str">
        <f t="shared" si="1"/>
        <v/>
      </c>
      <c r="N20" s="356" t="str">
        <f t="shared" si="2"/>
        <v/>
      </c>
      <c r="O20" s="69"/>
      <c r="P20" s="8"/>
      <c r="Q20" s="25"/>
      <c r="R20" s="739"/>
      <c r="S20" s="25"/>
      <c r="T20" s="785" t="str">
        <f>IF(C20="","",VLOOKUP(D20,'9. All Habitats + Multipliers'!$C$4:$K$102,5,FALSE))</f>
        <v/>
      </c>
      <c r="U20" s="786"/>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75">
      <c r="A21" s="25"/>
      <c r="B21" s="264">
        <v>11</v>
      </c>
      <c r="C21" s="258"/>
      <c r="D21" s="689"/>
      <c r="E21" s="690"/>
      <c r="F21" s="711"/>
      <c r="G21" s="712"/>
      <c r="H21" s="713"/>
      <c r="I21" s="305"/>
      <c r="J21" s="306"/>
      <c r="K21" s="307"/>
      <c r="L21" s="301" t="str">
        <f t="shared" si="0"/>
        <v/>
      </c>
      <c r="M21" s="301" t="str">
        <f t="shared" si="1"/>
        <v/>
      </c>
      <c r="N21" s="356" t="str">
        <f t="shared" si="2"/>
        <v/>
      </c>
      <c r="O21" s="69"/>
      <c r="P21" s="8"/>
      <c r="Q21" s="25"/>
      <c r="R21" s="739"/>
      <c r="S21" s="25"/>
      <c r="T21" s="785" t="str">
        <f>IF(C21="","",VLOOKUP(D21,'9. All Habitats + Multipliers'!$C$4:$K$102,5,FALSE))</f>
        <v/>
      </c>
      <c r="U21" s="786"/>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75">
      <c r="A22" s="25"/>
      <c r="B22" s="264">
        <v>12</v>
      </c>
      <c r="C22" s="258"/>
      <c r="D22" s="689"/>
      <c r="E22" s="690"/>
      <c r="F22" s="711"/>
      <c r="G22" s="712"/>
      <c r="H22" s="713"/>
      <c r="I22" s="305"/>
      <c r="J22" s="306"/>
      <c r="K22" s="307"/>
      <c r="L22" s="301" t="str">
        <f t="shared" si="0"/>
        <v/>
      </c>
      <c r="M22" s="301" t="str">
        <f t="shared" si="1"/>
        <v/>
      </c>
      <c r="N22" s="356" t="str">
        <f t="shared" si="2"/>
        <v/>
      </c>
      <c r="O22" s="69"/>
      <c r="P22" s="8"/>
      <c r="Q22" s="25"/>
      <c r="R22" s="739"/>
      <c r="S22" s="25"/>
      <c r="T22" s="785" t="str">
        <f>IF(C22="","",VLOOKUP(D22,'9. All Habitats + Multipliers'!$C$4:$K$102,5,FALSE))</f>
        <v/>
      </c>
      <c r="U22" s="786"/>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75">
      <c r="A23" s="25"/>
      <c r="B23" s="264">
        <v>13</v>
      </c>
      <c r="C23" s="259"/>
      <c r="D23" s="689"/>
      <c r="E23" s="690"/>
      <c r="F23" s="711"/>
      <c r="G23" s="712"/>
      <c r="H23" s="713"/>
      <c r="I23" s="305"/>
      <c r="J23" s="306"/>
      <c r="K23" s="307"/>
      <c r="L23" s="301" t="str">
        <f t="shared" si="0"/>
        <v/>
      </c>
      <c r="M23" s="301" t="str">
        <f t="shared" si="1"/>
        <v/>
      </c>
      <c r="N23" s="356" t="str">
        <f t="shared" si="2"/>
        <v/>
      </c>
      <c r="O23" s="69"/>
      <c r="P23" s="8"/>
      <c r="Q23" s="25"/>
      <c r="R23" s="739"/>
      <c r="S23" s="25"/>
      <c r="T23" s="785" t="str">
        <f>IF(C23="","",VLOOKUP(D23,'9. All Habitats + Multipliers'!$C$4:$K$102,5,FALSE))</f>
        <v/>
      </c>
      <c r="U23" s="786"/>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75">
      <c r="A24" s="25"/>
      <c r="B24" s="264">
        <v>14</v>
      </c>
      <c r="C24" s="259"/>
      <c r="D24" s="689"/>
      <c r="E24" s="690"/>
      <c r="F24" s="711"/>
      <c r="G24" s="712"/>
      <c r="H24" s="713"/>
      <c r="I24" s="305"/>
      <c r="J24" s="306"/>
      <c r="K24" s="307"/>
      <c r="L24" s="301" t="str">
        <f t="shared" si="0"/>
        <v/>
      </c>
      <c r="M24" s="301" t="str">
        <f t="shared" si="1"/>
        <v/>
      </c>
      <c r="N24" s="356" t="str">
        <f t="shared" si="2"/>
        <v/>
      </c>
      <c r="O24" s="69"/>
      <c r="P24" s="8"/>
      <c r="Q24" s="25"/>
      <c r="R24" s="739"/>
      <c r="S24" s="25"/>
      <c r="T24" s="785" t="str">
        <f>IF(C24="","",VLOOKUP(D24,'9. All Habitats + Multipliers'!$C$4:$K$102,5,FALSE))</f>
        <v/>
      </c>
      <c r="U24" s="786"/>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75">
      <c r="A25" s="25"/>
      <c r="B25" s="264">
        <v>15</v>
      </c>
      <c r="C25" s="259"/>
      <c r="D25" s="689"/>
      <c r="E25" s="690"/>
      <c r="F25" s="711"/>
      <c r="G25" s="712"/>
      <c r="H25" s="713"/>
      <c r="I25" s="305"/>
      <c r="J25" s="306"/>
      <c r="K25" s="307"/>
      <c r="L25" s="301" t="str">
        <f t="shared" si="0"/>
        <v/>
      </c>
      <c r="M25" s="301" t="str">
        <f t="shared" si="1"/>
        <v/>
      </c>
      <c r="N25" s="356" t="str">
        <f t="shared" si="2"/>
        <v/>
      </c>
      <c r="O25" s="69"/>
      <c r="P25" s="8"/>
      <c r="Q25" s="25"/>
      <c r="R25" s="739"/>
      <c r="S25" s="25"/>
      <c r="T25" s="785" t="str">
        <f>IF(C25="","",VLOOKUP(D25,'9. All Habitats + Multipliers'!$C$4:$K$102,5,FALSE))</f>
        <v/>
      </c>
      <c r="U25" s="786"/>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75">
      <c r="A26" s="25"/>
      <c r="B26" s="264">
        <v>16</v>
      </c>
      <c r="C26" s="259"/>
      <c r="D26" s="689"/>
      <c r="E26" s="690"/>
      <c r="F26" s="711"/>
      <c r="G26" s="712"/>
      <c r="H26" s="713"/>
      <c r="I26" s="305"/>
      <c r="J26" s="306"/>
      <c r="K26" s="307"/>
      <c r="L26" s="301" t="str">
        <f t="shared" si="0"/>
        <v/>
      </c>
      <c r="M26" s="301" t="str">
        <f t="shared" si="1"/>
        <v/>
      </c>
      <c r="N26" s="356" t="str">
        <f t="shared" si="2"/>
        <v/>
      </c>
      <c r="O26" s="69"/>
      <c r="P26" s="8"/>
      <c r="Q26" s="25"/>
      <c r="R26" s="739"/>
      <c r="S26" s="25"/>
      <c r="T26" s="785" t="str">
        <f>IF(C26="","",VLOOKUP(D26,'9. All Habitats + Multipliers'!$C$4:$K$102,5,FALSE))</f>
        <v/>
      </c>
      <c r="U26" s="786"/>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75">
      <c r="A27" s="25"/>
      <c r="B27" s="264">
        <v>17</v>
      </c>
      <c r="C27" s="259"/>
      <c r="D27" s="689"/>
      <c r="E27" s="690"/>
      <c r="F27" s="711"/>
      <c r="G27" s="712"/>
      <c r="H27" s="713"/>
      <c r="I27" s="305"/>
      <c r="J27" s="306"/>
      <c r="K27" s="307"/>
      <c r="L27" s="301" t="str">
        <f t="shared" si="0"/>
        <v/>
      </c>
      <c r="M27" s="301" t="str">
        <f t="shared" si="1"/>
        <v/>
      </c>
      <c r="N27" s="356" t="str">
        <f t="shared" si="2"/>
        <v/>
      </c>
      <c r="O27" s="69"/>
      <c r="P27" s="8"/>
      <c r="Q27" s="25"/>
      <c r="R27" s="739"/>
      <c r="S27" s="25"/>
      <c r="T27" s="785" t="str">
        <f>IF(C27="","",VLOOKUP(D27,'9. All Habitats + Multipliers'!$C$4:$K$102,5,FALSE))</f>
        <v/>
      </c>
      <c r="U27" s="786"/>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75">
      <c r="A28" s="25"/>
      <c r="B28" s="264">
        <v>18</v>
      </c>
      <c r="C28" s="259"/>
      <c r="D28" s="689"/>
      <c r="E28" s="690"/>
      <c r="F28" s="711"/>
      <c r="G28" s="712"/>
      <c r="H28" s="713"/>
      <c r="I28" s="305"/>
      <c r="J28" s="306"/>
      <c r="K28" s="307"/>
      <c r="L28" s="301" t="str">
        <f t="shared" si="0"/>
        <v/>
      </c>
      <c r="M28" s="301" t="str">
        <f t="shared" si="1"/>
        <v/>
      </c>
      <c r="N28" s="356" t="str">
        <f t="shared" si="2"/>
        <v/>
      </c>
      <c r="O28" s="69"/>
      <c r="P28" s="8"/>
      <c r="Q28" s="25"/>
      <c r="R28" s="739"/>
      <c r="S28" s="25"/>
      <c r="T28" s="785" t="str">
        <f>IF(C28="","",VLOOKUP(D28,'9. All Habitats + Multipliers'!$C$4:$K$102,5,FALSE))</f>
        <v/>
      </c>
      <c r="U28" s="786"/>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75">
      <c r="A29" s="25"/>
      <c r="B29" s="264">
        <v>19</v>
      </c>
      <c r="C29" s="259"/>
      <c r="D29" s="689"/>
      <c r="E29" s="690"/>
      <c r="F29" s="711"/>
      <c r="G29" s="712"/>
      <c r="H29" s="713"/>
      <c r="I29" s="305"/>
      <c r="J29" s="306"/>
      <c r="K29" s="307"/>
      <c r="L29" s="301" t="str">
        <f t="shared" si="0"/>
        <v/>
      </c>
      <c r="M29" s="301" t="str">
        <f t="shared" si="1"/>
        <v/>
      </c>
      <c r="N29" s="356" t="str">
        <f t="shared" si="2"/>
        <v/>
      </c>
      <c r="O29" s="69"/>
      <c r="P29" s="8"/>
      <c r="Q29" s="25"/>
      <c r="R29" s="739"/>
      <c r="S29" s="25"/>
      <c r="T29" s="785" t="str">
        <f>IF(C29="","",VLOOKUP(D29,'9. All Habitats + Multipliers'!$C$4:$K$102,5,FALSE))</f>
        <v/>
      </c>
      <c r="U29" s="786"/>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5" thickBot="1">
      <c r="A30" s="25"/>
      <c r="B30" s="265">
        <v>20</v>
      </c>
      <c r="C30" s="258"/>
      <c r="D30" s="714"/>
      <c r="E30" s="715"/>
      <c r="F30" s="711"/>
      <c r="G30" s="712"/>
      <c r="H30" s="713"/>
      <c r="I30" s="305"/>
      <c r="J30" s="306"/>
      <c r="K30" s="307"/>
      <c r="L30" s="410" t="str">
        <f t="shared" si="0"/>
        <v/>
      </c>
      <c r="M30" s="410" t="str">
        <f t="shared" si="1"/>
        <v/>
      </c>
      <c r="N30" s="411" t="str">
        <f t="shared" si="2"/>
        <v/>
      </c>
      <c r="O30" s="70"/>
      <c r="P30" s="4"/>
      <c r="Q30" s="25"/>
      <c r="R30" s="739"/>
      <c r="S30" s="25"/>
      <c r="T30" s="785" t="str">
        <f>IF(C30="","",VLOOKUP(D30,'9. All Habitats + Multipliers'!$C$4:$K$102,5,FALSE))</f>
        <v/>
      </c>
      <c r="U30" s="786"/>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30.75" thickBot="1">
      <c r="A31" s="25"/>
      <c r="B31" s="265" t="s">
        <v>92</v>
      </c>
      <c r="C31" s="97" t="s">
        <v>93</v>
      </c>
      <c r="D31" s="709" t="s">
        <v>94</v>
      </c>
      <c r="E31" s="710"/>
      <c r="F31" s="777" t="s">
        <v>95</v>
      </c>
      <c r="G31" s="778"/>
      <c r="H31" s="779"/>
      <c r="I31" s="324">
        <f>I99</f>
        <v>488.33280000000002</v>
      </c>
      <c r="J31" s="325">
        <f>L99</f>
        <v>0</v>
      </c>
      <c r="K31" s="426"/>
      <c r="L31" s="405">
        <f>IF(C31="","",((I31/10000)*V31*X31)*AD31)</f>
        <v>0.44926617599999996</v>
      </c>
      <c r="M31" s="412">
        <f>IF(C31="","",I31-J31-K31)</f>
        <v>488.33280000000002</v>
      </c>
      <c r="N31" s="413">
        <f>IF(C31="","",((M31/10000)*V31*X31)*AD31)</f>
        <v>0.44926617599999996</v>
      </c>
      <c r="O31" s="13"/>
      <c r="P31" s="14"/>
      <c r="Q31" s="25"/>
      <c r="R31" s="739"/>
      <c r="S31" s="25"/>
      <c r="T31" s="840" t="str">
        <f>IF(C31="","",VLOOKUP(D31,'9. All Habitats + Multipliers'!$C$4:$K$102,5,FALSE))</f>
        <v>Medium</v>
      </c>
      <c r="U31" s="841"/>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488.33280000000002</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75" thickBot="1">
      <c r="D32" s="89"/>
      <c r="E32" s="103"/>
      <c r="F32" s="103"/>
      <c r="G32" s="103"/>
      <c r="H32" s="499" t="s">
        <v>96</v>
      </c>
      <c r="I32" s="326">
        <f>SUMIFS(I11:I30,D11:D30,"&lt;&gt;"&amp;'11. Lists'!Q10,D11:D30,"&lt;&gt;"&amp;'11. Lists'!Q11,D11:D30,"&lt;&gt;"&amp;'11. Lists'!I4,D11:D30,"&lt;&gt;"&amp;'11. Lists'!I2,D11:D30,"&lt;&gt;"&amp;'11. Lists'!I3)</f>
        <v>8705</v>
      </c>
      <c r="J32" s="327">
        <f>SUMIFS(J11:J30,D11:D30,"&lt;&gt;"&amp;'11. Lists'!Q10,D11:D30,"&lt;&gt;"&amp;'11. Lists'!Q11,D11:D30,"&lt;&gt;"&amp;'11. Lists'!I4,D11:D30,"&lt;&gt;"&amp;'11. Lists'!I2,D11:D30,"&lt;&gt;"&amp;'11. Lists'!I3)</f>
        <v>6611.6900000000005</v>
      </c>
      <c r="K32" s="328">
        <f>SUMIFS(K11:K30,D11:D30,"&lt;&gt;"&amp;'11. Lists'!Q10,D11:D30,"&lt;&gt;"&amp;'11. Lists'!Q11,D11:D30,"&lt;&gt;"&amp;'11. Lists'!I4,D11:D30,"&lt;&gt;"&amp;'11. Lists'!I2,D11:D30,"&lt;&gt;"&amp;'11. Lists'!I3)</f>
        <v>0</v>
      </c>
      <c r="L32" s="279">
        <f>SUM(L11:L31)</f>
        <v>4.6552661759999996</v>
      </c>
      <c r="M32" s="319">
        <f>SUMIFS(M11:M30,D11:D30,"&lt;&gt;"&amp;'11. Lists'!Q10,D11:D30,"&lt;&gt;"&amp;'11. Lists'!Q11,D11:D30,"&lt;&gt;"&amp;'11. Lists'!I4,D11:D30,"&lt;&gt;"&amp;'11. Lists'!I2,D11:D30,"&lt;&gt;"&amp;'11. Lists'!I3)</f>
        <v>2093.31</v>
      </c>
      <c r="N32" s="280">
        <f>SUM(N11:N31)</f>
        <v>1.2865901759999998</v>
      </c>
      <c r="R32" s="739"/>
    </row>
    <row r="33" spans="2:34" s="25" customFormat="1">
      <c r="D33" s="89"/>
      <c r="E33" s="103"/>
      <c r="F33" s="103"/>
      <c r="G33" s="103"/>
      <c r="H33" s="281" t="s">
        <v>97</v>
      </c>
      <c r="I33" s="787"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7"/>
      <c r="K33" s="787"/>
      <c r="L33" s="787"/>
      <c r="M33" s="787"/>
      <c r="N33" s="788"/>
      <c r="O33" s="157">
        <f>IFERROR(FIND("Error",I33),0)</f>
        <v>0</v>
      </c>
      <c r="R33" s="104"/>
    </row>
    <row r="34" spans="2:34" s="25" customFormat="1">
      <c r="D34" s="89"/>
      <c r="E34" s="103"/>
      <c r="F34" s="103"/>
      <c r="G34" s="103"/>
      <c r="H34" s="282" t="s">
        <v>98</v>
      </c>
      <c r="I34" s="789" t="str">
        <f>IF(I32&lt;J32+K32,"Error - Areas Retained and Enhanced Exceed Total Area ▲","Areas Acceptable ✓")</f>
        <v>Areas Acceptable ✓</v>
      </c>
      <c r="J34" s="789"/>
      <c r="K34" s="789"/>
      <c r="L34" s="789"/>
      <c r="M34" s="789"/>
      <c r="N34" s="790"/>
      <c r="O34" s="157">
        <f>IFERROR(FIND("Error",I34),0)</f>
        <v>0</v>
      </c>
      <c r="R34" s="104"/>
    </row>
    <row r="35" spans="2:34" s="25" customFormat="1" ht="15.75" thickBot="1">
      <c r="D35" s="89"/>
      <c r="E35" s="103"/>
      <c r="F35" s="103"/>
      <c r="G35" s="103"/>
      <c r="H35" s="272" t="s">
        <v>99</v>
      </c>
      <c r="I35" s="799" t="str">
        <f>IF(I32=0,"Areas Acceptable ✓",IF(I32&lt;&gt;'3. Desktop Assessment'!C7,"Error - Areas Entered Does Not Match Stated Site Area ▲","Areas Acceptable ✓"))</f>
        <v>Areas Acceptable ✓</v>
      </c>
      <c r="J35" s="799"/>
      <c r="K35" s="799"/>
      <c r="L35" s="799"/>
      <c r="M35" s="799"/>
      <c r="N35" s="800"/>
      <c r="O35" s="157">
        <f>IFERROR(FIND("Error",I35),0)</f>
        <v>0</v>
      </c>
      <c r="R35" s="739" t="s">
        <v>55</v>
      </c>
    </row>
    <row r="36" spans="2:34" s="25" customFormat="1" ht="21">
      <c r="B36" s="57" t="s">
        <v>100</v>
      </c>
      <c r="D36" s="88"/>
      <c r="E36" s="103"/>
      <c r="F36" s="103"/>
      <c r="G36" s="103"/>
      <c r="I36" s="26"/>
      <c r="O36" s="157">
        <f>COUNTIF(L11:N30,"*"&amp;"error"&amp;"*")</f>
        <v>0</v>
      </c>
      <c r="R36" s="739"/>
    </row>
    <row r="37" spans="2:34" s="25" customFormat="1" ht="15.75" customHeight="1" thickBot="1">
      <c r="R37" s="739"/>
    </row>
    <row r="38" spans="2:34" s="25" customFormat="1" ht="16.350000000000001" customHeight="1">
      <c r="B38" s="717" t="s">
        <v>49</v>
      </c>
      <c r="C38" s="716"/>
      <c r="D38" s="766"/>
      <c r="E38" s="706" t="s">
        <v>101</v>
      </c>
      <c r="F38" s="707"/>
      <c r="G38" s="708"/>
      <c r="H38" s="707" t="s">
        <v>102</v>
      </c>
      <c r="I38" s="652" t="s">
        <v>103</v>
      </c>
      <c r="J38" s="780"/>
      <c r="K38" s="653"/>
      <c r="L38" s="765" t="s">
        <v>104</v>
      </c>
      <c r="M38" s="716"/>
      <c r="N38" s="766"/>
      <c r="O38" s="706" t="s">
        <v>68</v>
      </c>
      <c r="P38" s="708"/>
      <c r="R38" s="739"/>
      <c r="T38" s="682" t="s">
        <v>69</v>
      </c>
      <c r="U38" s="683"/>
      <c r="V38" s="684"/>
      <c r="W38" s="797" t="s">
        <v>70</v>
      </c>
      <c r="X38" s="684"/>
      <c r="Y38" s="798"/>
      <c r="Z38" s="798"/>
      <c r="AA38" s="798"/>
      <c r="AB38" s="682" t="s">
        <v>71</v>
      </c>
      <c r="AC38" s="683"/>
      <c r="AD38" s="684"/>
      <c r="AE38" s="682" t="s">
        <v>105</v>
      </c>
      <c r="AF38" s="684"/>
      <c r="AG38" s="682" t="s">
        <v>106</v>
      </c>
      <c r="AH38" s="684"/>
    </row>
    <row r="39" spans="2:34" s="25" customFormat="1" ht="32.25" thickBot="1">
      <c r="B39" s="665"/>
      <c r="C39" s="197" t="s">
        <v>75</v>
      </c>
      <c r="D39" s="198" t="s">
        <v>107</v>
      </c>
      <c r="E39" s="86" t="s">
        <v>108</v>
      </c>
      <c r="F39" s="668" t="s">
        <v>109</v>
      </c>
      <c r="G39" s="677"/>
      <c r="H39" s="666"/>
      <c r="I39" s="654"/>
      <c r="J39" s="781"/>
      <c r="K39" s="655"/>
      <c r="L39" s="667"/>
      <c r="M39" s="767"/>
      <c r="N39" s="668"/>
      <c r="O39" s="86" t="s">
        <v>83</v>
      </c>
      <c r="P39" s="90" t="s">
        <v>84</v>
      </c>
      <c r="R39" s="739"/>
      <c r="T39" s="783" t="s">
        <v>85</v>
      </c>
      <c r="U39" s="784"/>
      <c r="V39" s="92" t="s">
        <v>86</v>
      </c>
      <c r="W39" s="334" t="s">
        <v>87</v>
      </c>
      <c r="X39" s="92" t="s">
        <v>86</v>
      </c>
      <c r="Y39" s="346"/>
      <c r="Z39" s="346"/>
      <c r="AA39" s="346"/>
      <c r="AB39" s="91" t="s">
        <v>71</v>
      </c>
      <c r="AC39" s="49" t="s">
        <v>71</v>
      </c>
      <c r="AD39" s="92" t="s">
        <v>88</v>
      </c>
      <c r="AE39" s="91" t="s">
        <v>110</v>
      </c>
      <c r="AF39" s="92" t="s">
        <v>111</v>
      </c>
      <c r="AG39" s="91" t="s">
        <v>112</v>
      </c>
      <c r="AH39" s="92" t="s">
        <v>113</v>
      </c>
    </row>
    <row r="40" spans="2:34" s="25" customFormat="1" ht="30">
      <c r="B40" s="263">
        <v>1</v>
      </c>
      <c r="C40" s="76" t="s">
        <v>212</v>
      </c>
      <c r="D40" s="73" t="s">
        <v>337</v>
      </c>
      <c r="E40" s="342" t="str">
        <f>IF(D40="","",VLOOKUP(D40,'10. Condition and Temporal'!$B$6:$D$103,3,FALSE))</f>
        <v>N/A - Other</v>
      </c>
      <c r="F40" s="720" t="s">
        <v>390</v>
      </c>
      <c r="G40" s="721"/>
      <c r="H40" s="72" t="s">
        <v>115</v>
      </c>
      <c r="I40" s="722">
        <v>715.35</v>
      </c>
      <c r="J40" s="723"/>
      <c r="K40" s="724"/>
      <c r="L40" s="731">
        <f>IF(C40="","",IFERROR(IF(I40="","",((I40/10000)*(V40*X40))*(AH40*AF40)*AD40),"This intervention is not permitted within the SSM ▲"))</f>
        <v>0</v>
      </c>
      <c r="M40" s="695"/>
      <c r="N40" s="732"/>
      <c r="O40" s="2"/>
      <c r="P40" s="1"/>
      <c r="Q40" s="106"/>
      <c r="R40" s="739"/>
      <c r="T40" s="785" t="str">
        <f>IF(C40="","",VLOOKUP(D40,'9. All Habitats + Multipliers'!$C$4:$K$102,5,FALSE))</f>
        <v>V.Low</v>
      </c>
      <c r="U40" s="786"/>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30">
      <c r="B41" s="264">
        <v>2</v>
      </c>
      <c r="C41" s="77" t="s">
        <v>212</v>
      </c>
      <c r="D41" s="73" t="s">
        <v>337</v>
      </c>
      <c r="E41" s="342" t="str">
        <f>IF(D41="","",VLOOKUP(D41,'10. Condition and Temporal'!$B$6:$D$103,3,FALSE))</f>
        <v>N/A - Other</v>
      </c>
      <c r="F41" s="700" t="s">
        <v>390</v>
      </c>
      <c r="G41" s="701"/>
      <c r="H41" s="71" t="s">
        <v>115</v>
      </c>
      <c r="I41" s="722">
        <v>850.31</v>
      </c>
      <c r="J41" s="723"/>
      <c r="K41" s="724"/>
      <c r="L41" s="731">
        <f t="shared" ref="L41:L59" si="7">IF(C41="","",IFERROR(IF(I41="","",((I41/10000)*(V41*X41))*(AH41*AF41)*AD41),"This intervention is not permitted within the SSM ▲"))</f>
        <v>0</v>
      </c>
      <c r="M41" s="695"/>
      <c r="N41" s="732"/>
      <c r="O41" s="61"/>
      <c r="P41" s="12"/>
      <c r="Q41" s="106"/>
      <c r="R41" s="739"/>
      <c r="T41" s="785" t="str">
        <f>IF(C41="","",VLOOKUP(D41,'9. All Habitats + Multipliers'!$C$4:$K$102,5,FALSE))</f>
        <v>V.Low</v>
      </c>
      <c r="U41" s="786"/>
      <c r="V41" s="94">
        <f>IF(T41="","",VLOOKUP(T41,'11. Lists'!$B$47:$D$49,2,FALSE))</f>
        <v>0</v>
      </c>
      <c r="W41" s="184" t="str">
        <f>IF(F41="","",F41)</f>
        <v>N/A - Other</v>
      </c>
      <c r="X41" s="94">
        <f>IF(W41="","",VLOOKUP(W41,'11. Lists'!$F$47:$G$51,2,FALSE))</f>
        <v>0</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0</v>
      </c>
      <c r="AF41" s="107">
        <f>IF(AE41="","",VLOOKUP(AE41,'11. Lists'!$I$47:$K$80,3,FALSE))</f>
        <v>1</v>
      </c>
      <c r="AG41" s="93" t="str">
        <f>IF(D41="","",VLOOKUP(D41,'9. All Habitats + Multipliers'!$C$4:$K$102,7,FALSE))</f>
        <v>Low</v>
      </c>
      <c r="AH41" s="94">
        <f>IF(AG41="","",VLOOKUP(AG41,'11. Lists'!$J$35:$K$38,2,FALSE))</f>
        <v>1</v>
      </c>
    </row>
    <row r="42" spans="2:34" s="25" customFormat="1" ht="30">
      <c r="B42" s="264">
        <v>3</v>
      </c>
      <c r="C42" s="77" t="s">
        <v>212</v>
      </c>
      <c r="D42" s="73" t="s">
        <v>337</v>
      </c>
      <c r="E42" s="342" t="str">
        <f>IF(D42="","",VLOOKUP(D42,'10. Condition and Temporal'!$B$6:$D$103,3,FALSE))</f>
        <v>N/A - Other</v>
      </c>
      <c r="F42" s="700" t="s">
        <v>390</v>
      </c>
      <c r="G42" s="701"/>
      <c r="H42" s="71" t="s">
        <v>115</v>
      </c>
      <c r="I42" s="722">
        <v>527.65</v>
      </c>
      <c r="J42" s="723"/>
      <c r="K42" s="724"/>
      <c r="L42" s="731">
        <f t="shared" si="7"/>
        <v>0</v>
      </c>
      <c r="M42" s="695"/>
      <c r="N42" s="732"/>
      <c r="O42" s="61"/>
      <c r="P42" s="12"/>
      <c r="Q42" s="106"/>
      <c r="R42" s="739"/>
      <c r="T42" s="785" t="str">
        <f>IF(C42="","",VLOOKUP(D42,'9. All Habitats + Multipliers'!$C$4:$K$102,5,FALSE))</f>
        <v>V.Low</v>
      </c>
      <c r="U42" s="786"/>
      <c r="V42" s="94">
        <f>IF(T42="","",VLOOKUP(T42,'11. Lists'!$B$47:$D$49,2,FALSE))</f>
        <v>0</v>
      </c>
      <c r="W42" s="184" t="str">
        <f>IF(F42="","",F42)</f>
        <v>N/A - Other</v>
      </c>
      <c r="X42" s="94">
        <f>IF(W42="","",VLOOKUP(W42,'11. Lists'!$F$47:$G$51,2,FALSE))</f>
        <v>0</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0</v>
      </c>
      <c r="AF42" s="107">
        <f>IF(AE42="","",VLOOKUP(AE42,'11. Lists'!$I$47:$K$80,3,FALSE))</f>
        <v>1</v>
      </c>
      <c r="AG42" s="93" t="str">
        <f>IF(D42="","",VLOOKUP(D42,'9. All Habitats + Multipliers'!$C$4:$K$102,7,FALSE))</f>
        <v>Low</v>
      </c>
      <c r="AH42" s="94">
        <f>IF(AG42="","",VLOOKUP(AG42,'11. Lists'!$J$35:$K$38,2,FALSE))</f>
        <v>1</v>
      </c>
    </row>
    <row r="43" spans="2:34" s="25" customFormat="1" ht="15.75">
      <c r="B43" s="264">
        <v>4</v>
      </c>
      <c r="C43" s="77"/>
      <c r="D43" s="73"/>
      <c r="E43" s="342" t="str">
        <f>IF(D43="","",VLOOKUP(D43,'10. Condition and Temporal'!$B$6:$D$103,3,FALSE))</f>
        <v/>
      </c>
      <c r="F43" s="700"/>
      <c r="G43" s="701"/>
      <c r="H43" s="71"/>
      <c r="I43" s="722"/>
      <c r="J43" s="723"/>
      <c r="K43" s="724"/>
      <c r="L43" s="731" t="str">
        <f t="shared" si="7"/>
        <v/>
      </c>
      <c r="M43" s="695"/>
      <c r="N43" s="732"/>
      <c r="O43" s="61"/>
      <c r="P43" s="12"/>
      <c r="Q43" s="106"/>
      <c r="R43" s="739"/>
      <c r="T43" s="785" t="str">
        <f>IF(C43="","",VLOOKUP(D43,'9. All Habitats + Multipliers'!$C$4:$K$102,5,FALSE))</f>
        <v/>
      </c>
      <c r="U43" s="786"/>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75">
      <c r="B44" s="264">
        <v>5</v>
      </c>
      <c r="C44" s="77"/>
      <c r="D44" s="73"/>
      <c r="E44" s="342" t="str">
        <f>IF(D44="","",VLOOKUP(D44,'10. Condition and Temporal'!$B$6:$D$103,3,FALSE))</f>
        <v/>
      </c>
      <c r="F44" s="700"/>
      <c r="G44" s="701"/>
      <c r="H44" s="71"/>
      <c r="I44" s="722"/>
      <c r="J44" s="723"/>
      <c r="K44" s="724"/>
      <c r="L44" s="731" t="str">
        <f t="shared" si="7"/>
        <v/>
      </c>
      <c r="M44" s="695"/>
      <c r="N44" s="732"/>
      <c r="O44" s="61"/>
      <c r="P44" s="12"/>
      <c r="R44" s="739"/>
      <c r="T44" s="785" t="str">
        <f>IF(C44="","",VLOOKUP(D44,'9. All Habitats + Multipliers'!$C$4:$K$102,5,FALSE))</f>
        <v/>
      </c>
      <c r="U44" s="786"/>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75">
      <c r="B45" s="264">
        <v>6</v>
      </c>
      <c r="C45" s="77"/>
      <c r="D45" s="73"/>
      <c r="E45" s="342" t="str">
        <f>IF(D45="","",VLOOKUP(D45,'10. Condition and Temporal'!$B$6:$D$103,3,FALSE))</f>
        <v/>
      </c>
      <c r="F45" s="700"/>
      <c r="G45" s="701"/>
      <c r="H45" s="71"/>
      <c r="I45" s="722"/>
      <c r="J45" s="723"/>
      <c r="K45" s="724"/>
      <c r="L45" s="731" t="str">
        <f t="shared" si="7"/>
        <v/>
      </c>
      <c r="M45" s="695"/>
      <c r="N45" s="732"/>
      <c r="O45" s="61"/>
      <c r="P45" s="12"/>
      <c r="R45" s="739"/>
      <c r="T45" s="785" t="str">
        <f>IF(C45="","",VLOOKUP(D45,'9. All Habitats + Multipliers'!$C$4:$K$102,5,FALSE))</f>
        <v/>
      </c>
      <c r="U45" s="786"/>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75">
      <c r="B46" s="264">
        <v>7</v>
      </c>
      <c r="C46" s="77"/>
      <c r="D46" s="73"/>
      <c r="E46" s="342" t="str">
        <f>IF(D46="","",VLOOKUP(D46,'10. Condition and Temporal'!$B$6:$D$103,3,FALSE))</f>
        <v/>
      </c>
      <c r="F46" s="700"/>
      <c r="G46" s="701"/>
      <c r="H46" s="71"/>
      <c r="I46" s="722"/>
      <c r="J46" s="723"/>
      <c r="K46" s="724"/>
      <c r="L46" s="731" t="str">
        <f t="shared" si="7"/>
        <v/>
      </c>
      <c r="M46" s="695"/>
      <c r="N46" s="732"/>
      <c r="O46" s="61"/>
      <c r="P46" s="12"/>
      <c r="R46" s="739"/>
      <c r="T46" s="785" t="str">
        <f>IF(C46="","",VLOOKUP(D46,'9. All Habitats + Multipliers'!$C$4:$K$102,5,FALSE))</f>
        <v/>
      </c>
      <c r="U46" s="786"/>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75">
      <c r="B47" s="264">
        <v>8</v>
      </c>
      <c r="C47" s="77"/>
      <c r="D47" s="73"/>
      <c r="E47" s="342" t="str">
        <f>IF(D47="","",VLOOKUP(D47,'10. Condition and Temporal'!$B$6:$D$103,3,FALSE))</f>
        <v/>
      </c>
      <c r="F47" s="700"/>
      <c r="G47" s="701"/>
      <c r="H47" s="71"/>
      <c r="I47" s="722"/>
      <c r="J47" s="723"/>
      <c r="K47" s="724"/>
      <c r="L47" s="731" t="str">
        <f t="shared" si="7"/>
        <v/>
      </c>
      <c r="M47" s="695"/>
      <c r="N47" s="732"/>
      <c r="O47" s="61"/>
      <c r="P47" s="12"/>
      <c r="R47" s="739"/>
      <c r="T47" s="785" t="str">
        <f>IF(C47="","",VLOOKUP(D47,'9. All Habitats + Multipliers'!$C$4:$K$102,5,FALSE))</f>
        <v/>
      </c>
      <c r="U47" s="786"/>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75">
      <c r="B48" s="264">
        <v>9</v>
      </c>
      <c r="C48" s="77"/>
      <c r="D48" s="73"/>
      <c r="E48" s="342" t="str">
        <f>IF(D48="","",VLOOKUP(D48,'10. Condition and Temporal'!$B$6:$D$103,3,FALSE))</f>
        <v/>
      </c>
      <c r="F48" s="700"/>
      <c r="G48" s="701"/>
      <c r="H48" s="71"/>
      <c r="I48" s="722"/>
      <c r="J48" s="723"/>
      <c r="K48" s="724"/>
      <c r="L48" s="731" t="str">
        <f t="shared" si="7"/>
        <v/>
      </c>
      <c r="M48" s="695"/>
      <c r="N48" s="732"/>
      <c r="O48" s="61"/>
      <c r="P48" s="12"/>
      <c r="R48" s="739"/>
      <c r="T48" s="785" t="str">
        <f>IF(C48="","",VLOOKUP(D48,'9. All Habitats + Multipliers'!$C$4:$K$102,5,FALSE))</f>
        <v/>
      </c>
      <c r="U48" s="786"/>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75">
      <c r="B49" s="264">
        <v>10</v>
      </c>
      <c r="C49" s="78"/>
      <c r="D49" s="73"/>
      <c r="E49" s="342" t="str">
        <f>IF(D49="","",VLOOKUP(D49,'10. Condition and Temporal'!$B$6:$D$103,3,FALSE))</f>
        <v/>
      </c>
      <c r="F49" s="700"/>
      <c r="G49" s="701"/>
      <c r="H49" s="71"/>
      <c r="I49" s="722"/>
      <c r="J49" s="723"/>
      <c r="K49" s="724"/>
      <c r="L49" s="731" t="str">
        <f t="shared" si="7"/>
        <v/>
      </c>
      <c r="M49" s="695"/>
      <c r="N49" s="732"/>
      <c r="O49" s="61"/>
      <c r="P49" s="12"/>
      <c r="R49" s="739"/>
      <c r="T49" s="785" t="str">
        <f>IF(C49="","",VLOOKUP(D49,'9. All Habitats + Multipliers'!$C$4:$K$102,5,FALSE))</f>
        <v/>
      </c>
      <c r="U49" s="786"/>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75">
      <c r="B50" s="264">
        <v>11</v>
      </c>
      <c r="C50" s="78"/>
      <c r="D50" s="73"/>
      <c r="E50" s="342" t="str">
        <f>IF(D50="","",VLOOKUP(D50,'10. Condition and Temporal'!$B$6:$D$103,3,FALSE))</f>
        <v/>
      </c>
      <c r="F50" s="700"/>
      <c r="G50" s="701"/>
      <c r="H50" s="71"/>
      <c r="I50" s="722"/>
      <c r="J50" s="723"/>
      <c r="K50" s="724"/>
      <c r="L50" s="731" t="str">
        <f t="shared" si="7"/>
        <v/>
      </c>
      <c r="M50" s="695"/>
      <c r="N50" s="732"/>
      <c r="O50" s="61"/>
      <c r="P50" s="12"/>
      <c r="R50" s="739"/>
      <c r="T50" s="785" t="str">
        <f>IF(C50="","",VLOOKUP(D50,'9. All Habitats + Multipliers'!$C$4:$K$102,5,FALSE))</f>
        <v/>
      </c>
      <c r="U50" s="786"/>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75">
      <c r="B51" s="264">
        <v>12</v>
      </c>
      <c r="C51" s="78"/>
      <c r="D51" s="73"/>
      <c r="E51" s="342" t="str">
        <f>IF(D51="","",VLOOKUP(D51,'10. Condition and Temporal'!$B$6:$D$103,3,FALSE))</f>
        <v/>
      </c>
      <c r="F51" s="700"/>
      <c r="G51" s="701"/>
      <c r="H51" s="71"/>
      <c r="I51" s="722"/>
      <c r="J51" s="723"/>
      <c r="K51" s="724"/>
      <c r="L51" s="731" t="str">
        <f t="shared" si="7"/>
        <v/>
      </c>
      <c r="M51" s="695"/>
      <c r="N51" s="732"/>
      <c r="O51" s="61"/>
      <c r="P51" s="12"/>
      <c r="R51" s="739"/>
      <c r="T51" s="785" t="str">
        <f>IF(C51="","",VLOOKUP(D51,'9. All Habitats + Multipliers'!$C$4:$K$102,5,FALSE))</f>
        <v/>
      </c>
      <c r="U51" s="786"/>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75">
      <c r="B52" s="264">
        <v>13</v>
      </c>
      <c r="C52" s="78"/>
      <c r="D52" s="73"/>
      <c r="E52" s="342" t="str">
        <f>IF(D52="","",VLOOKUP(D52,'10. Condition and Temporal'!$B$6:$D$103,3,FALSE))</f>
        <v/>
      </c>
      <c r="F52" s="700"/>
      <c r="G52" s="701"/>
      <c r="H52" s="71"/>
      <c r="I52" s="722"/>
      <c r="J52" s="723"/>
      <c r="K52" s="724"/>
      <c r="L52" s="731" t="str">
        <f t="shared" si="7"/>
        <v/>
      </c>
      <c r="M52" s="695"/>
      <c r="N52" s="732"/>
      <c r="O52" s="61"/>
      <c r="P52" s="12"/>
      <c r="R52" s="739"/>
      <c r="T52" s="785" t="str">
        <f>IF(C52="","",VLOOKUP(D52,'9. All Habitats + Multipliers'!$C$4:$K$102,5,FALSE))</f>
        <v/>
      </c>
      <c r="U52" s="786"/>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75">
      <c r="B53" s="264">
        <v>14</v>
      </c>
      <c r="C53" s="78"/>
      <c r="D53" s="73"/>
      <c r="E53" s="342" t="str">
        <f>IF(D53="","",VLOOKUP(D53,'10. Condition and Temporal'!$B$6:$D$103,3,FALSE))</f>
        <v/>
      </c>
      <c r="F53" s="700"/>
      <c r="G53" s="701"/>
      <c r="H53" s="71"/>
      <c r="I53" s="722"/>
      <c r="J53" s="723"/>
      <c r="K53" s="724"/>
      <c r="L53" s="731" t="str">
        <f t="shared" si="7"/>
        <v/>
      </c>
      <c r="M53" s="695"/>
      <c r="N53" s="732"/>
      <c r="O53" s="61"/>
      <c r="P53" s="12"/>
      <c r="R53" s="739"/>
      <c r="T53" s="785" t="str">
        <f>IF(C53="","",VLOOKUP(D53,'9. All Habitats + Multipliers'!$C$4:$K$102,5,FALSE))</f>
        <v/>
      </c>
      <c r="U53" s="786"/>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75">
      <c r="B54" s="264">
        <v>15</v>
      </c>
      <c r="C54" s="78"/>
      <c r="D54" s="73"/>
      <c r="E54" s="342" t="str">
        <f>IF(D54="","",VLOOKUP(D54,'10. Condition and Temporal'!$B$6:$D$103,3,FALSE))</f>
        <v/>
      </c>
      <c r="F54" s="700"/>
      <c r="G54" s="701"/>
      <c r="H54" s="71"/>
      <c r="I54" s="722"/>
      <c r="J54" s="723"/>
      <c r="K54" s="724"/>
      <c r="L54" s="731" t="str">
        <f t="shared" si="7"/>
        <v/>
      </c>
      <c r="M54" s="695"/>
      <c r="N54" s="732"/>
      <c r="O54" s="61"/>
      <c r="P54" s="12"/>
      <c r="R54" s="739"/>
      <c r="T54" s="785" t="str">
        <f>IF(C54="","",VLOOKUP(D54,'9. All Habitats + Multipliers'!$C$4:$K$102,5,FALSE))</f>
        <v/>
      </c>
      <c r="U54" s="786"/>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75">
      <c r="B55" s="264">
        <v>16</v>
      </c>
      <c r="C55" s="78"/>
      <c r="D55" s="73"/>
      <c r="E55" s="342" t="str">
        <f>IF(D55="","",VLOOKUP(D55,'10. Condition and Temporal'!$B$6:$D$103,3,FALSE))</f>
        <v/>
      </c>
      <c r="F55" s="700"/>
      <c r="G55" s="701"/>
      <c r="H55" s="71"/>
      <c r="I55" s="722"/>
      <c r="J55" s="723"/>
      <c r="K55" s="724"/>
      <c r="L55" s="731" t="str">
        <f t="shared" si="7"/>
        <v/>
      </c>
      <c r="M55" s="695"/>
      <c r="N55" s="732"/>
      <c r="O55" s="61"/>
      <c r="P55" s="12"/>
      <c r="R55" s="739"/>
      <c r="T55" s="785" t="str">
        <f>IF(C55="","",VLOOKUP(D55,'9. All Habitats + Multipliers'!$C$4:$K$102,5,FALSE))</f>
        <v/>
      </c>
      <c r="U55" s="786"/>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75">
      <c r="B56" s="264">
        <v>17</v>
      </c>
      <c r="C56" s="78"/>
      <c r="D56" s="73"/>
      <c r="E56" s="342" t="str">
        <f>IF(D56="","",VLOOKUP(D56,'10. Condition and Temporal'!$B$6:$D$103,3,FALSE))</f>
        <v/>
      </c>
      <c r="F56" s="700"/>
      <c r="G56" s="701"/>
      <c r="H56" s="71"/>
      <c r="I56" s="722"/>
      <c r="J56" s="723"/>
      <c r="K56" s="724"/>
      <c r="L56" s="731" t="str">
        <f t="shared" si="7"/>
        <v/>
      </c>
      <c r="M56" s="695"/>
      <c r="N56" s="732"/>
      <c r="O56" s="61"/>
      <c r="P56" s="12"/>
      <c r="R56" s="739"/>
      <c r="T56" s="785" t="str">
        <f>IF(C56="","",VLOOKUP(D56,'9. All Habitats + Multipliers'!$C$4:$K$102,5,FALSE))</f>
        <v/>
      </c>
      <c r="U56" s="786"/>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75">
      <c r="B57" s="264">
        <v>18</v>
      </c>
      <c r="C57" s="78"/>
      <c r="D57" s="73"/>
      <c r="E57" s="342" t="str">
        <f>IF(D57="","",VLOOKUP(D57,'10. Condition and Temporal'!$B$6:$D$103,3,FALSE))</f>
        <v/>
      </c>
      <c r="F57" s="700"/>
      <c r="G57" s="701"/>
      <c r="H57" s="71"/>
      <c r="I57" s="722"/>
      <c r="J57" s="723"/>
      <c r="K57" s="724"/>
      <c r="L57" s="731" t="str">
        <f t="shared" si="7"/>
        <v/>
      </c>
      <c r="M57" s="695"/>
      <c r="N57" s="732"/>
      <c r="O57" s="61"/>
      <c r="P57" s="12"/>
      <c r="R57" s="739"/>
      <c r="T57" s="785" t="str">
        <f>IF(C57="","",VLOOKUP(D57,'9. All Habitats + Multipliers'!$C$4:$K$102,5,FALSE))</f>
        <v/>
      </c>
      <c r="U57" s="786"/>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75">
      <c r="B58" s="264">
        <v>19</v>
      </c>
      <c r="C58" s="78"/>
      <c r="D58" s="73"/>
      <c r="E58" s="342" t="str">
        <f>IF(D58="","",VLOOKUP(D58,'10. Condition and Temporal'!$B$6:$D$103,3,FALSE))</f>
        <v/>
      </c>
      <c r="F58" s="700"/>
      <c r="G58" s="701"/>
      <c r="H58" s="71"/>
      <c r="I58" s="722"/>
      <c r="J58" s="723"/>
      <c r="K58" s="724"/>
      <c r="L58" s="731" t="str">
        <f t="shared" si="7"/>
        <v/>
      </c>
      <c r="M58" s="695"/>
      <c r="N58" s="732"/>
      <c r="O58" s="61"/>
      <c r="P58" s="12"/>
      <c r="R58" s="739"/>
      <c r="T58" s="785" t="str">
        <f>IF(C58="","",VLOOKUP(D58,'9. All Habitats + Multipliers'!$C$4:$K$102,5,FALSE))</f>
        <v/>
      </c>
      <c r="U58" s="786"/>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5" thickBot="1">
      <c r="B59" s="266">
        <v>20</v>
      </c>
      <c r="C59" s="78"/>
      <c r="D59" s="73"/>
      <c r="E59" s="342" t="str">
        <f>IF(D59="","",VLOOKUP(D59,'10. Condition and Temporal'!$B$6:$D$103,3,FALSE))</f>
        <v/>
      </c>
      <c r="F59" s="700"/>
      <c r="G59" s="701"/>
      <c r="H59" s="79"/>
      <c r="I59" s="722"/>
      <c r="J59" s="723"/>
      <c r="K59" s="724"/>
      <c r="L59" s="731" t="str">
        <f t="shared" si="7"/>
        <v/>
      </c>
      <c r="M59" s="695"/>
      <c r="N59" s="732"/>
      <c r="O59" s="22"/>
      <c r="P59" s="6"/>
      <c r="R59" s="739"/>
      <c r="T59" s="785" t="str">
        <f>IF(C59="","",VLOOKUP(D59,'9. All Habitats + Multipliers'!$C$4:$K$102,5,FALSE))</f>
        <v/>
      </c>
      <c r="U59" s="786"/>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30.75" thickBot="1">
      <c r="B60" s="267" t="s">
        <v>92</v>
      </c>
      <c r="C60" s="97" t="s">
        <v>93</v>
      </c>
      <c r="D60" s="108" t="s">
        <v>94</v>
      </c>
      <c r="E60" s="109" t="s">
        <v>114</v>
      </c>
      <c r="F60" s="816" t="s">
        <v>114</v>
      </c>
      <c r="G60" s="710"/>
      <c r="H60" s="550" t="s">
        <v>115</v>
      </c>
      <c r="I60" s="791">
        <f>O99</f>
        <v>5737.9104000000007</v>
      </c>
      <c r="J60" s="792"/>
      <c r="K60" s="793"/>
      <c r="L60" s="818">
        <f>IF(D60="","",((I60/10000)*(V60*X60))*(AH60*AF60)*AD60)</f>
        <v>1.7542084940410014</v>
      </c>
      <c r="M60" s="819"/>
      <c r="N60" s="820"/>
      <c r="O60" s="38"/>
      <c r="P60" s="39"/>
      <c r="R60" s="739"/>
      <c r="T60" s="840" t="str">
        <f>IF(C60="","",VLOOKUP(D60,'9. All Habitats + Multipliers'!$C$4:$K$102,5,FALSE))</f>
        <v>Medium</v>
      </c>
      <c r="U60" s="841"/>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75" thickBot="1">
      <c r="H61" s="499" t="s">
        <v>96</v>
      </c>
      <c r="I61" s="733">
        <f>SUMIFS(I40:I59,D40:D59,"&lt;&gt;"&amp;'11. Lists'!Q10,D40:D59,"&lt;&gt;"&amp;'11. Lists'!Q11,D40:D59,"&lt;&gt;"&amp;'11. Lists'!I4,D40:D59,"&lt;&gt;"&amp;'11. Lists'!I2,D40:D59,"&lt;&gt;"&amp;'11. Lists'!I3)</f>
        <v>2093.31</v>
      </c>
      <c r="J61" s="734"/>
      <c r="K61" s="735"/>
      <c r="L61" s="736">
        <f>SUM(L40:N60)</f>
        <v>1.7542084940410014</v>
      </c>
      <c r="M61" s="737"/>
      <c r="N61" s="738"/>
      <c r="R61" s="739"/>
    </row>
    <row r="62" spans="2:53" s="25" customFormat="1" ht="15.75" thickBot="1">
      <c r="H62" s="268" t="s">
        <v>116</v>
      </c>
      <c r="I62" s="821" t="str">
        <f>IF(M32=0,"Areas Acceptable ✓",IF(OR(I61-M32&lt;=-0.001,(I61-M32&gt;=0.001)),("Error - Area of habitat creation must match area lost ▲"),("Areas Acceptable ✓")))</f>
        <v>Areas Acceptable ✓</v>
      </c>
      <c r="J62" s="822"/>
      <c r="K62" s="822"/>
      <c r="L62" s="822"/>
      <c r="M62" s="822"/>
      <c r="N62" s="823"/>
      <c r="O62" s="157">
        <f>IFERROR(FIND("Error",I62),0)</f>
        <v>0</v>
      </c>
      <c r="R62" s="739"/>
    </row>
    <row r="63" spans="2:53" s="25" customFormat="1">
      <c r="I63" s="436">
        <f>SUM($I$40:$K$60)</f>
        <v>7831.2204000000002</v>
      </c>
      <c r="R63" s="739"/>
      <c r="BA63" s="50" t="s">
        <v>117</v>
      </c>
    </row>
    <row r="64" spans="2:53" s="25" customFormat="1" ht="21">
      <c r="B64" s="57" t="s">
        <v>118</v>
      </c>
      <c r="D64" s="88"/>
      <c r="H64" s="26"/>
      <c r="R64" s="739"/>
      <c r="BA64" s="50" t="s">
        <v>119</v>
      </c>
    </row>
    <row r="65" spans="1:76" s="25" customFormat="1" ht="15.75" thickBot="1">
      <c r="A65" s="89"/>
      <c r="R65" s="739" t="s">
        <v>55</v>
      </c>
    </row>
    <row r="66" spans="1:76" s="25" customFormat="1" ht="16.350000000000001" customHeight="1" thickBot="1">
      <c r="A66" s="89"/>
      <c r="B66" s="831" t="s">
        <v>120</v>
      </c>
      <c r="C66" s="682" t="s">
        <v>121</v>
      </c>
      <c r="D66" s="684"/>
      <c r="E66" s="706" t="s">
        <v>122</v>
      </c>
      <c r="F66" s="716"/>
      <c r="G66" s="708"/>
      <c r="H66" s="725" t="s">
        <v>123</v>
      </c>
      <c r="I66" s="725" t="s">
        <v>124</v>
      </c>
      <c r="J66" s="727" t="s">
        <v>125</v>
      </c>
      <c r="K66" s="728"/>
      <c r="L66" s="682" t="s">
        <v>126</v>
      </c>
      <c r="M66" s="683" t="s">
        <v>127</v>
      </c>
      <c r="N66" s="684"/>
      <c r="O66" s="817" t="s">
        <v>68</v>
      </c>
      <c r="P66" s="685"/>
      <c r="R66" s="739"/>
      <c r="T66" s="845" t="s">
        <v>128</v>
      </c>
      <c r="U66" s="846"/>
      <c r="V66" s="846"/>
      <c r="W66" s="846"/>
      <c r="X66" s="846"/>
      <c r="Y66" s="846"/>
      <c r="Z66" s="846"/>
      <c r="AA66" s="846"/>
      <c r="AB66" s="846"/>
      <c r="AC66" s="846"/>
      <c r="AD66" s="847"/>
      <c r="AE66" s="725" t="s">
        <v>129</v>
      </c>
      <c r="AF66" s="845" t="s">
        <v>130</v>
      </c>
      <c r="AG66" s="846"/>
      <c r="AH66" s="846"/>
      <c r="AI66" s="846"/>
      <c r="AJ66" s="846"/>
      <c r="AK66" s="846"/>
      <c r="AL66" s="846"/>
      <c r="AM66" s="846"/>
      <c r="AN66" s="846"/>
      <c r="AO66" s="846"/>
      <c r="AP66" s="847"/>
      <c r="AQ66" s="848" t="s">
        <v>131</v>
      </c>
      <c r="AR66" s="845" t="s">
        <v>130</v>
      </c>
      <c r="AS66" s="846"/>
      <c r="AT66" s="846"/>
      <c r="AU66" s="846"/>
      <c r="AV66" s="846"/>
      <c r="AW66" s="846"/>
      <c r="AX66" s="846"/>
      <c r="AY66" s="460"/>
      <c r="BA66" s="154" t="s">
        <v>132</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75" customHeight="1" thickBot="1">
      <c r="A67" s="89"/>
      <c r="B67" s="832"/>
      <c r="C67" s="211" t="s">
        <v>133</v>
      </c>
      <c r="D67" s="90" t="s">
        <v>134</v>
      </c>
      <c r="E67" s="86" t="s">
        <v>135</v>
      </c>
      <c r="F67" s="668" t="s">
        <v>136</v>
      </c>
      <c r="G67" s="677"/>
      <c r="H67" s="726"/>
      <c r="I67" s="726"/>
      <c r="J67" s="729"/>
      <c r="K67" s="730"/>
      <c r="L67" s="697"/>
      <c r="M67" s="698"/>
      <c r="N67" s="699"/>
      <c r="O67" s="196" t="s">
        <v>83</v>
      </c>
      <c r="P67" s="90" t="s">
        <v>84</v>
      </c>
      <c r="R67" s="739"/>
      <c r="T67" s="332" t="s">
        <v>137</v>
      </c>
      <c r="U67" s="351" t="s">
        <v>138</v>
      </c>
      <c r="V67" s="350" t="s">
        <v>139</v>
      </c>
      <c r="W67" s="505" t="s">
        <v>140</v>
      </c>
      <c r="X67" s="506" t="s">
        <v>141</v>
      </c>
      <c r="Y67" s="355"/>
      <c r="Z67" s="355"/>
      <c r="AA67" s="355"/>
      <c r="AB67" s="506" t="s">
        <v>142</v>
      </c>
      <c r="AC67" s="506" t="s">
        <v>143</v>
      </c>
      <c r="AD67" s="350" t="s">
        <v>144</v>
      </c>
      <c r="AE67" s="726"/>
      <c r="AF67" s="333" t="s">
        <v>137</v>
      </c>
      <c r="AG67" s="351" t="s">
        <v>85</v>
      </c>
      <c r="AH67" s="350" t="s">
        <v>86</v>
      </c>
      <c r="AI67" s="505" t="s">
        <v>87</v>
      </c>
      <c r="AJ67" s="359" t="s">
        <v>86</v>
      </c>
      <c r="AK67" s="346"/>
      <c r="AL67" s="346"/>
      <c r="AM67" s="346"/>
      <c r="AN67" s="360" t="s">
        <v>71</v>
      </c>
      <c r="AO67" s="506" t="s">
        <v>71</v>
      </c>
      <c r="AP67" s="516" t="s">
        <v>88</v>
      </c>
      <c r="AQ67" s="849"/>
      <c r="AR67" s="350" t="s">
        <v>145</v>
      </c>
      <c r="AS67" s="351" t="s">
        <v>146</v>
      </c>
      <c r="AT67" s="350" t="s">
        <v>147</v>
      </c>
      <c r="AU67" s="352" t="s">
        <v>148</v>
      </c>
      <c r="AV67" s="350" t="s">
        <v>149</v>
      </c>
      <c r="AW67" s="331" t="s">
        <v>150</v>
      </c>
      <c r="AX67" s="458" t="s">
        <v>151</v>
      </c>
      <c r="AY67" s="461" t="s">
        <v>152</v>
      </c>
      <c r="BA67" s="83" t="s">
        <v>153</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154</v>
      </c>
      <c r="BW67" s="169" t="s">
        <v>155</v>
      </c>
      <c r="BX67" s="169" t="s">
        <v>156</v>
      </c>
    </row>
    <row r="68" spans="1:76" s="25" customFormat="1" ht="15.75">
      <c r="A68" s="89"/>
      <c r="B68" s="263">
        <v>1</v>
      </c>
      <c r="C68" s="207" t="str">
        <f t="shared" ref="C68:C87" si="11">IF(D68="","",C11)</f>
        <v/>
      </c>
      <c r="D68" s="208" t="str">
        <f>IF(OR(K11=0, K11=""),"",D11)</f>
        <v/>
      </c>
      <c r="E68" s="209" t="str">
        <f t="shared" ref="E68:E88" si="12">IF(AX68="","",AX68)</f>
        <v/>
      </c>
      <c r="F68" s="691"/>
      <c r="G68" s="692"/>
      <c r="H68" s="163" t="str">
        <f t="shared" ref="H68:H87" si="13">IF(D68="","",AB68)</f>
        <v/>
      </c>
      <c r="I68" s="321" t="str">
        <f>IF(OR(K11="", K11=0),"",K11)</f>
        <v/>
      </c>
      <c r="J68" s="806" t="str">
        <f>IFERROR(IF(F68="","",VLOOKUP(F68,'10. Condition and Temporal'!$B$6:$F$103,5,FALSE)), "Error ▲")</f>
        <v/>
      </c>
      <c r="K68" s="807"/>
      <c r="L68" s="283" t="str">
        <f>IFERROR(IF(D68="","",IF(AX68="Distinctiveness",(((((I68*AH68*AJ68)-(I68*V68*X68))*(AV68*AT68))+(I68*V68*X68))*(AP68))/10000,((((I68*AJ68*AH68)-(I68*V68*X68))*(AV68*AR68))+(I68*V68*X68))*AP68/10000)),"Error ▲")</f>
        <v/>
      </c>
      <c r="M68" s="695" t="str">
        <f>IFERROR(IF(F68="","",L68-AD68), "Error ▲")</f>
        <v/>
      </c>
      <c r="N68" s="696"/>
      <c r="O68" s="210"/>
      <c r="P68" s="1"/>
      <c r="R68" s="739"/>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157</v>
      </c>
      <c r="BX68" s="95">
        <f>BB66</f>
        <v>0</v>
      </c>
    </row>
    <row r="69" spans="1:76" s="25" customFormat="1" ht="15.75">
      <c r="A69" s="89"/>
      <c r="B69" s="264">
        <v>2</v>
      </c>
      <c r="C69" s="119" t="str">
        <f t="shared" si="11"/>
        <v/>
      </c>
      <c r="D69" s="208" t="str">
        <f t="shared" ref="D69:D87" si="42">IF(OR(K12=0, K12=""),"",D12)</f>
        <v/>
      </c>
      <c r="E69" s="166" t="str">
        <f t="shared" si="12"/>
        <v/>
      </c>
      <c r="F69" s="824"/>
      <c r="G69" s="825"/>
      <c r="H69" s="163" t="str">
        <f t="shared" si="13"/>
        <v/>
      </c>
      <c r="I69" s="321" t="str">
        <f t="shared" ref="I69:I87" si="43">IF(OR(K12="", K12=0),"",K12)</f>
        <v/>
      </c>
      <c r="J69" s="806" t="str">
        <f>IFERROR(IF(F69="","",VLOOKUP(F69,'10. Condition and Temporal'!$B$6:$F$103,5,FALSE)), "Error ▲")</f>
        <v/>
      </c>
      <c r="K69" s="807"/>
      <c r="L69" s="283" t="str">
        <f t="shared" ref="L69:L87" si="44">IFERROR(IF(D69="","",IF(AX69="Distinctiveness",(((((I69*AH69*AJ69)-(I69*V69*X69))*(AV69*AT69))+(I69*V69*X69))*(AP69))/10000,((((I69*AJ69*AH69)-(I69*V69*X69))*(AV69*AR69))+(I69*V69*X69))*AP69/10000)),"Error ▲")</f>
        <v/>
      </c>
      <c r="M69" s="695" t="str">
        <f t="shared" ref="M69:M87" si="45">IFERROR(IF(F69="","",L69-AD69), "Error ▲")</f>
        <v/>
      </c>
      <c r="N69" s="696"/>
      <c r="O69" s="74"/>
      <c r="P69" s="12"/>
      <c r="R69" s="739"/>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158</v>
      </c>
      <c r="BX69" s="95">
        <f>BC66</f>
        <v>0</v>
      </c>
    </row>
    <row r="70" spans="1:76" s="25" customFormat="1" ht="15.75">
      <c r="A70" s="89"/>
      <c r="B70" s="264">
        <v>3</v>
      </c>
      <c r="C70" s="119" t="str">
        <f t="shared" si="11"/>
        <v/>
      </c>
      <c r="D70" s="208" t="str">
        <f t="shared" si="42"/>
        <v/>
      </c>
      <c r="E70" s="166" t="str">
        <f t="shared" si="12"/>
        <v/>
      </c>
      <c r="F70" s="824"/>
      <c r="G70" s="825"/>
      <c r="H70" s="163" t="str">
        <f t="shared" si="13"/>
        <v/>
      </c>
      <c r="I70" s="321" t="str">
        <f t="shared" si="43"/>
        <v/>
      </c>
      <c r="J70" s="806" t="str">
        <f>IFERROR(IF(F70="","",VLOOKUP(F70,'10. Condition and Temporal'!$B$6:$F$103,5,FALSE)), "Error ▲")</f>
        <v/>
      </c>
      <c r="K70" s="807"/>
      <c r="L70" s="283" t="str">
        <f t="shared" si="44"/>
        <v/>
      </c>
      <c r="M70" s="695" t="str">
        <f t="shared" si="45"/>
        <v/>
      </c>
      <c r="N70" s="696"/>
      <c r="O70" s="74"/>
      <c r="P70" s="12"/>
      <c r="R70" s="739"/>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159</v>
      </c>
      <c r="BX70" s="95">
        <f>BD66</f>
        <v>0</v>
      </c>
    </row>
    <row r="71" spans="1:76" s="25" customFormat="1" ht="15.75">
      <c r="A71" s="89"/>
      <c r="B71" s="264">
        <v>4</v>
      </c>
      <c r="C71" s="119" t="str">
        <f t="shared" si="11"/>
        <v/>
      </c>
      <c r="D71" s="208" t="str">
        <f t="shared" si="42"/>
        <v/>
      </c>
      <c r="E71" s="166" t="str">
        <f t="shared" si="12"/>
        <v/>
      </c>
      <c r="F71" s="824"/>
      <c r="G71" s="825"/>
      <c r="H71" s="163" t="str">
        <f t="shared" si="13"/>
        <v/>
      </c>
      <c r="I71" s="321" t="str">
        <f t="shared" si="43"/>
        <v/>
      </c>
      <c r="J71" s="806" t="str">
        <f>IFERROR(IF(F71="","",VLOOKUP(F71,'10. Condition and Temporal'!$B$6:$F$103,5,FALSE)), "Error ▲")</f>
        <v/>
      </c>
      <c r="K71" s="807"/>
      <c r="L71" s="283" t="str">
        <f t="shared" si="44"/>
        <v/>
      </c>
      <c r="M71" s="695" t="str">
        <f t="shared" si="45"/>
        <v/>
      </c>
      <c r="N71" s="696"/>
      <c r="O71" s="74"/>
      <c r="P71" s="12"/>
      <c r="R71" s="739"/>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160</v>
      </c>
      <c r="BX71" s="95">
        <f>BE66</f>
        <v>0</v>
      </c>
    </row>
    <row r="72" spans="1:76" s="25" customFormat="1" ht="15.75">
      <c r="A72" s="89"/>
      <c r="B72" s="264">
        <v>5</v>
      </c>
      <c r="C72" s="119" t="str">
        <f t="shared" si="11"/>
        <v/>
      </c>
      <c r="D72" s="208" t="str">
        <f t="shared" si="42"/>
        <v/>
      </c>
      <c r="E72" s="166" t="str">
        <f t="shared" si="12"/>
        <v/>
      </c>
      <c r="F72" s="824"/>
      <c r="G72" s="825"/>
      <c r="H72" s="163" t="str">
        <f t="shared" si="13"/>
        <v/>
      </c>
      <c r="I72" s="321" t="str">
        <f t="shared" si="43"/>
        <v/>
      </c>
      <c r="J72" s="806" t="str">
        <f>IFERROR(IF(F72="","",VLOOKUP(F72,'10. Condition and Temporal'!$B$6:$F$103,5,FALSE)), "Error ▲")</f>
        <v/>
      </c>
      <c r="K72" s="807"/>
      <c r="L72" s="283" t="str">
        <f t="shared" si="44"/>
        <v/>
      </c>
      <c r="M72" s="695" t="str">
        <f t="shared" si="45"/>
        <v/>
      </c>
      <c r="N72" s="696"/>
      <c r="O72" s="74"/>
      <c r="P72" s="12"/>
      <c r="R72" s="739"/>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161</v>
      </c>
      <c r="BX72" s="95">
        <f>BF66</f>
        <v>0</v>
      </c>
    </row>
    <row r="73" spans="1:76" s="25" customFormat="1" ht="15.75">
      <c r="A73" s="89"/>
      <c r="B73" s="264">
        <v>6</v>
      </c>
      <c r="C73" s="119" t="str">
        <f t="shared" si="11"/>
        <v/>
      </c>
      <c r="D73" s="208" t="str">
        <f t="shared" si="42"/>
        <v/>
      </c>
      <c r="E73" s="166" t="str">
        <f t="shared" si="12"/>
        <v/>
      </c>
      <c r="F73" s="824"/>
      <c r="G73" s="825"/>
      <c r="H73" s="163" t="str">
        <f t="shared" si="13"/>
        <v/>
      </c>
      <c r="I73" s="321" t="str">
        <f t="shared" si="43"/>
        <v/>
      </c>
      <c r="J73" s="806" t="str">
        <f>IFERROR(IF(F73="","",VLOOKUP(F73,'10. Condition and Temporal'!$B$6:$F$103,5,FALSE)), "Error ▲")</f>
        <v/>
      </c>
      <c r="K73" s="807"/>
      <c r="L73" s="283" t="str">
        <f t="shared" si="44"/>
        <v/>
      </c>
      <c r="M73" s="695" t="str">
        <f t="shared" si="45"/>
        <v/>
      </c>
      <c r="N73" s="696"/>
      <c r="O73" s="74"/>
      <c r="P73" s="12"/>
      <c r="R73" s="739"/>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162</v>
      </c>
      <c r="BX73" s="95">
        <f>BG66</f>
        <v>0</v>
      </c>
    </row>
    <row r="74" spans="1:76" s="25" customFormat="1" ht="15.75">
      <c r="A74" s="89"/>
      <c r="B74" s="264">
        <v>7</v>
      </c>
      <c r="C74" s="119" t="str">
        <f t="shared" si="11"/>
        <v/>
      </c>
      <c r="D74" s="208" t="str">
        <f t="shared" si="42"/>
        <v/>
      </c>
      <c r="E74" s="166" t="str">
        <f t="shared" si="12"/>
        <v/>
      </c>
      <c r="F74" s="824"/>
      <c r="G74" s="825"/>
      <c r="H74" s="163" t="str">
        <f t="shared" si="13"/>
        <v/>
      </c>
      <c r="I74" s="321" t="str">
        <f t="shared" si="43"/>
        <v/>
      </c>
      <c r="J74" s="806" t="str">
        <f>IFERROR(IF(F74="","",VLOOKUP(F74,'10. Condition and Temporal'!$B$6:$F$103,5,FALSE)), "Error ▲")</f>
        <v/>
      </c>
      <c r="K74" s="807"/>
      <c r="L74" s="283" t="str">
        <f t="shared" si="44"/>
        <v/>
      </c>
      <c r="M74" s="695" t="str">
        <f t="shared" si="45"/>
        <v/>
      </c>
      <c r="N74" s="696"/>
      <c r="O74" s="74"/>
      <c r="P74" s="12"/>
      <c r="R74" s="739"/>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163</v>
      </c>
      <c r="BX74" s="95">
        <f>BH66</f>
        <v>0</v>
      </c>
    </row>
    <row r="75" spans="1:76" s="25" customFormat="1" ht="15.75">
      <c r="A75" s="89"/>
      <c r="B75" s="264">
        <v>8</v>
      </c>
      <c r="C75" s="119" t="str">
        <f t="shared" si="11"/>
        <v/>
      </c>
      <c r="D75" s="208" t="str">
        <f t="shared" si="42"/>
        <v/>
      </c>
      <c r="E75" s="166" t="str">
        <f t="shared" si="12"/>
        <v/>
      </c>
      <c r="F75" s="824"/>
      <c r="G75" s="825"/>
      <c r="H75" s="163" t="str">
        <f t="shared" si="13"/>
        <v/>
      </c>
      <c r="I75" s="321" t="str">
        <f t="shared" si="43"/>
        <v/>
      </c>
      <c r="J75" s="806" t="str">
        <f>IFERROR(IF(F75="","",VLOOKUP(F75,'10. Condition and Temporal'!$B$6:$F$103,5,FALSE)), "Error ▲")</f>
        <v/>
      </c>
      <c r="K75" s="807"/>
      <c r="L75" s="283" t="str">
        <f t="shared" si="44"/>
        <v/>
      </c>
      <c r="M75" s="695" t="str">
        <f t="shared" si="45"/>
        <v/>
      </c>
      <c r="N75" s="696"/>
      <c r="O75" s="74"/>
      <c r="P75" s="12"/>
      <c r="R75" s="739"/>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164</v>
      </c>
      <c r="BX75" s="95">
        <f>BI66</f>
        <v>0</v>
      </c>
    </row>
    <row r="76" spans="1:76" s="25" customFormat="1" ht="15.75">
      <c r="A76" s="89"/>
      <c r="B76" s="264">
        <v>9</v>
      </c>
      <c r="C76" s="119" t="str">
        <f t="shared" si="11"/>
        <v/>
      </c>
      <c r="D76" s="208" t="str">
        <f t="shared" si="42"/>
        <v/>
      </c>
      <c r="E76" s="166" t="str">
        <f t="shared" si="12"/>
        <v/>
      </c>
      <c r="F76" s="824"/>
      <c r="G76" s="825"/>
      <c r="H76" s="163" t="str">
        <f t="shared" si="13"/>
        <v/>
      </c>
      <c r="I76" s="321" t="str">
        <f t="shared" si="43"/>
        <v/>
      </c>
      <c r="J76" s="806" t="str">
        <f>IFERROR(IF(F76="","",VLOOKUP(F76,'10. Condition and Temporal'!$B$6:$F$103,5,FALSE)), "Error ▲")</f>
        <v/>
      </c>
      <c r="K76" s="807"/>
      <c r="L76" s="283" t="str">
        <f t="shared" si="44"/>
        <v/>
      </c>
      <c r="M76" s="695" t="str">
        <f t="shared" si="45"/>
        <v/>
      </c>
      <c r="N76" s="696"/>
      <c r="O76" s="74"/>
      <c r="P76" s="12"/>
      <c r="R76" s="739"/>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165</v>
      </c>
      <c r="BX76" s="95">
        <f>BJ66</f>
        <v>0</v>
      </c>
    </row>
    <row r="77" spans="1:76" s="25" customFormat="1" ht="15.75">
      <c r="A77" s="89"/>
      <c r="B77" s="264">
        <v>10</v>
      </c>
      <c r="C77" s="119" t="str">
        <f t="shared" si="11"/>
        <v/>
      </c>
      <c r="D77" s="208" t="str">
        <f t="shared" si="42"/>
        <v/>
      </c>
      <c r="E77" s="166" t="str">
        <f t="shared" si="12"/>
        <v/>
      </c>
      <c r="F77" s="824"/>
      <c r="G77" s="825"/>
      <c r="H77" s="163" t="str">
        <f t="shared" si="13"/>
        <v/>
      </c>
      <c r="I77" s="321" t="str">
        <f t="shared" si="43"/>
        <v/>
      </c>
      <c r="J77" s="806" t="str">
        <f>IFERROR(IF(F77="","",VLOOKUP(F77,'10. Condition and Temporal'!$B$6:$F$103,5,FALSE)), "Error ▲")</f>
        <v/>
      </c>
      <c r="K77" s="807"/>
      <c r="L77" s="283" t="str">
        <f t="shared" si="44"/>
        <v/>
      </c>
      <c r="M77" s="695" t="str">
        <f t="shared" si="45"/>
        <v/>
      </c>
      <c r="N77" s="696"/>
      <c r="O77" s="74"/>
      <c r="P77" s="12"/>
      <c r="R77" s="739"/>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166</v>
      </c>
      <c r="BX77" s="95">
        <f>BK66</f>
        <v>0</v>
      </c>
    </row>
    <row r="78" spans="1:76" s="25" customFormat="1" ht="15.75">
      <c r="A78" s="89"/>
      <c r="B78" s="264">
        <v>11</v>
      </c>
      <c r="C78" s="119" t="str">
        <f t="shared" si="11"/>
        <v/>
      </c>
      <c r="D78" s="208" t="str">
        <f t="shared" si="42"/>
        <v/>
      </c>
      <c r="E78" s="166" t="str">
        <f t="shared" si="12"/>
        <v/>
      </c>
      <c r="F78" s="824"/>
      <c r="G78" s="825"/>
      <c r="H78" s="163" t="str">
        <f t="shared" si="13"/>
        <v/>
      </c>
      <c r="I78" s="321" t="str">
        <f t="shared" si="43"/>
        <v/>
      </c>
      <c r="J78" s="806" t="str">
        <f>IFERROR(IF(F78="","",VLOOKUP(F78,'10. Condition and Temporal'!$B$6:$F$103,5,FALSE)), "Error ▲")</f>
        <v/>
      </c>
      <c r="K78" s="807"/>
      <c r="L78" s="283" t="str">
        <f t="shared" si="44"/>
        <v/>
      </c>
      <c r="M78" s="695" t="str">
        <f t="shared" si="45"/>
        <v/>
      </c>
      <c r="N78" s="696"/>
      <c r="O78" s="74"/>
      <c r="P78" s="12"/>
      <c r="R78" s="739"/>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167</v>
      </c>
      <c r="BX78" s="95">
        <f>BL66</f>
        <v>0</v>
      </c>
    </row>
    <row r="79" spans="1:76" s="25" customFormat="1" ht="15.75">
      <c r="A79" s="89"/>
      <c r="B79" s="264">
        <v>12</v>
      </c>
      <c r="C79" s="119" t="str">
        <f t="shared" si="11"/>
        <v/>
      </c>
      <c r="D79" s="208" t="str">
        <f t="shared" si="42"/>
        <v/>
      </c>
      <c r="E79" s="166" t="str">
        <f t="shared" si="12"/>
        <v/>
      </c>
      <c r="F79" s="824"/>
      <c r="G79" s="825"/>
      <c r="H79" s="163" t="str">
        <f t="shared" si="13"/>
        <v/>
      </c>
      <c r="I79" s="321" t="str">
        <f t="shared" si="43"/>
        <v/>
      </c>
      <c r="J79" s="806" t="str">
        <f>IFERROR(IF(F79="","",VLOOKUP(F79,'10. Condition and Temporal'!$B$6:$F$103,5,FALSE)), "Error ▲")</f>
        <v/>
      </c>
      <c r="K79" s="807"/>
      <c r="L79" s="283" t="str">
        <f t="shared" si="44"/>
        <v/>
      </c>
      <c r="M79" s="695" t="str">
        <f t="shared" si="45"/>
        <v/>
      </c>
      <c r="N79" s="696"/>
      <c r="O79" s="74"/>
      <c r="P79" s="12"/>
      <c r="R79" s="739"/>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168</v>
      </c>
      <c r="BX79" s="95">
        <f>BM66</f>
        <v>0</v>
      </c>
    </row>
    <row r="80" spans="1:76" s="25" customFormat="1" ht="15.75">
      <c r="A80" s="89"/>
      <c r="B80" s="264">
        <v>13</v>
      </c>
      <c r="C80" s="119" t="str">
        <f t="shared" si="11"/>
        <v/>
      </c>
      <c r="D80" s="208" t="str">
        <f t="shared" si="42"/>
        <v/>
      </c>
      <c r="E80" s="166" t="str">
        <f t="shared" si="12"/>
        <v/>
      </c>
      <c r="F80" s="824"/>
      <c r="G80" s="825"/>
      <c r="H80" s="163" t="str">
        <f t="shared" si="13"/>
        <v/>
      </c>
      <c r="I80" s="321" t="str">
        <f t="shared" si="43"/>
        <v/>
      </c>
      <c r="J80" s="806" t="str">
        <f>IFERROR(IF(F80="","",VLOOKUP(F80,'10. Condition and Temporal'!$B$6:$F$103,5,FALSE)), "Error ▲")</f>
        <v/>
      </c>
      <c r="K80" s="807"/>
      <c r="L80" s="283" t="str">
        <f t="shared" si="44"/>
        <v/>
      </c>
      <c r="M80" s="695" t="str">
        <f t="shared" si="45"/>
        <v/>
      </c>
      <c r="N80" s="696"/>
      <c r="O80" s="74"/>
      <c r="P80" s="12"/>
      <c r="R80" s="739"/>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169</v>
      </c>
      <c r="BX80" s="95">
        <f>BN66</f>
        <v>0</v>
      </c>
    </row>
    <row r="81" spans="1:76" s="25" customFormat="1" ht="15.75">
      <c r="A81" s="89"/>
      <c r="B81" s="264">
        <v>14</v>
      </c>
      <c r="C81" s="119" t="str">
        <f t="shared" si="11"/>
        <v/>
      </c>
      <c r="D81" s="208" t="str">
        <f t="shared" si="42"/>
        <v/>
      </c>
      <c r="E81" s="166" t="str">
        <f t="shared" si="12"/>
        <v/>
      </c>
      <c r="F81" s="824"/>
      <c r="G81" s="825"/>
      <c r="H81" s="163" t="str">
        <f t="shared" si="13"/>
        <v/>
      </c>
      <c r="I81" s="321" t="str">
        <f t="shared" si="43"/>
        <v/>
      </c>
      <c r="J81" s="806" t="str">
        <f>IFERROR(IF(F81="","",VLOOKUP(F81,'10. Condition and Temporal'!$B$6:$F$103,5,FALSE)), "Error ▲")</f>
        <v/>
      </c>
      <c r="K81" s="807"/>
      <c r="L81" s="283" t="str">
        <f t="shared" si="44"/>
        <v/>
      </c>
      <c r="M81" s="695" t="str">
        <f t="shared" si="45"/>
        <v/>
      </c>
      <c r="N81" s="696"/>
      <c r="O81" s="74"/>
      <c r="P81" s="12"/>
      <c r="R81" s="739"/>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170</v>
      </c>
      <c r="BX81" s="95">
        <f>BO66</f>
        <v>0</v>
      </c>
    </row>
    <row r="82" spans="1:76" s="25" customFormat="1" ht="15.75">
      <c r="A82" s="89"/>
      <c r="B82" s="264">
        <v>15</v>
      </c>
      <c r="C82" s="119" t="str">
        <f t="shared" si="11"/>
        <v/>
      </c>
      <c r="D82" s="208" t="str">
        <f t="shared" si="42"/>
        <v/>
      </c>
      <c r="E82" s="166" t="str">
        <f t="shared" si="12"/>
        <v/>
      </c>
      <c r="F82" s="824"/>
      <c r="G82" s="825"/>
      <c r="H82" s="163" t="str">
        <f t="shared" si="13"/>
        <v/>
      </c>
      <c r="I82" s="321" t="str">
        <f t="shared" si="43"/>
        <v/>
      </c>
      <c r="J82" s="806" t="str">
        <f>IFERROR(IF(F82="","",VLOOKUP(F82,'10. Condition and Temporal'!$B$6:$F$103,5,FALSE)), "Error ▲")</f>
        <v/>
      </c>
      <c r="K82" s="807"/>
      <c r="L82" s="283" t="str">
        <f t="shared" si="44"/>
        <v/>
      </c>
      <c r="M82" s="695" t="str">
        <f t="shared" si="45"/>
        <v/>
      </c>
      <c r="N82" s="696"/>
      <c r="O82" s="74"/>
      <c r="P82" s="12"/>
      <c r="R82" s="739"/>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171</v>
      </c>
      <c r="BX82" s="95">
        <f>BP66</f>
        <v>0</v>
      </c>
    </row>
    <row r="83" spans="1:76" s="25" customFormat="1" ht="15.75">
      <c r="A83" s="89"/>
      <c r="B83" s="264">
        <v>16</v>
      </c>
      <c r="C83" s="119" t="str">
        <f t="shared" si="11"/>
        <v/>
      </c>
      <c r="D83" s="208" t="str">
        <f t="shared" si="42"/>
        <v/>
      </c>
      <c r="E83" s="166" t="str">
        <f t="shared" si="12"/>
        <v/>
      </c>
      <c r="F83" s="824"/>
      <c r="G83" s="825"/>
      <c r="H83" s="163" t="str">
        <f t="shared" si="13"/>
        <v/>
      </c>
      <c r="I83" s="321" t="str">
        <f t="shared" si="43"/>
        <v/>
      </c>
      <c r="J83" s="806" t="str">
        <f>IFERROR(IF(F83="","",VLOOKUP(F83,'10. Condition and Temporal'!$B$6:$F$103,5,FALSE)), "Error ▲")</f>
        <v/>
      </c>
      <c r="K83" s="807"/>
      <c r="L83" s="283" t="str">
        <f t="shared" si="44"/>
        <v/>
      </c>
      <c r="M83" s="695" t="str">
        <f t="shared" si="45"/>
        <v/>
      </c>
      <c r="N83" s="696"/>
      <c r="O83" s="74"/>
      <c r="P83" s="12"/>
      <c r="R83" s="739"/>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172</v>
      </c>
      <c r="BX83" s="95">
        <f>BQ66</f>
        <v>0</v>
      </c>
    </row>
    <row r="84" spans="1:76" s="25" customFormat="1" ht="15.75">
      <c r="A84" s="89"/>
      <c r="B84" s="264">
        <v>17</v>
      </c>
      <c r="C84" s="119" t="str">
        <f t="shared" si="11"/>
        <v/>
      </c>
      <c r="D84" s="208" t="str">
        <f t="shared" si="42"/>
        <v/>
      </c>
      <c r="E84" s="166" t="str">
        <f t="shared" si="12"/>
        <v/>
      </c>
      <c r="F84" s="824"/>
      <c r="G84" s="825"/>
      <c r="H84" s="163" t="str">
        <f t="shared" si="13"/>
        <v/>
      </c>
      <c r="I84" s="321" t="str">
        <f t="shared" si="43"/>
        <v/>
      </c>
      <c r="J84" s="806" t="str">
        <f>IFERROR(IF(F84="","",VLOOKUP(F84,'10. Condition and Temporal'!$B$6:$F$103,5,FALSE)), "Error ▲")</f>
        <v/>
      </c>
      <c r="K84" s="807"/>
      <c r="L84" s="283" t="str">
        <f t="shared" si="44"/>
        <v/>
      </c>
      <c r="M84" s="695" t="str">
        <f t="shared" si="45"/>
        <v/>
      </c>
      <c r="N84" s="696"/>
      <c r="O84" s="74"/>
      <c r="P84" s="12"/>
      <c r="R84" s="739"/>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173</v>
      </c>
      <c r="BX84" s="95">
        <f>BR66</f>
        <v>0</v>
      </c>
    </row>
    <row r="85" spans="1:76" s="25" customFormat="1" ht="15.75">
      <c r="A85" s="89"/>
      <c r="B85" s="264">
        <v>18</v>
      </c>
      <c r="C85" s="119" t="str">
        <f t="shared" si="11"/>
        <v/>
      </c>
      <c r="D85" s="208" t="str">
        <f t="shared" si="42"/>
        <v/>
      </c>
      <c r="E85" s="166" t="str">
        <f t="shared" si="12"/>
        <v/>
      </c>
      <c r="F85" s="824"/>
      <c r="G85" s="825"/>
      <c r="H85" s="163" t="str">
        <f t="shared" si="13"/>
        <v/>
      </c>
      <c r="I85" s="321" t="str">
        <f t="shared" si="43"/>
        <v/>
      </c>
      <c r="J85" s="806" t="str">
        <f>IFERROR(IF(F85="","",VLOOKUP(F85,'10. Condition and Temporal'!$B$6:$F$103,5,FALSE)), "Error ▲")</f>
        <v/>
      </c>
      <c r="K85" s="807"/>
      <c r="L85" s="283" t="str">
        <f t="shared" si="44"/>
        <v/>
      </c>
      <c r="M85" s="695" t="str">
        <f t="shared" si="45"/>
        <v/>
      </c>
      <c r="N85" s="696"/>
      <c r="O85" s="74"/>
      <c r="P85" s="12"/>
      <c r="R85" s="739"/>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174</v>
      </c>
      <c r="BX85" s="95">
        <f>BS66</f>
        <v>0</v>
      </c>
    </row>
    <row r="86" spans="1:76" s="25" customFormat="1" ht="15.75">
      <c r="A86" s="89"/>
      <c r="B86" s="264">
        <v>19</v>
      </c>
      <c r="C86" s="119" t="str">
        <f t="shared" si="11"/>
        <v/>
      </c>
      <c r="D86" s="208" t="str">
        <f t="shared" si="42"/>
        <v/>
      </c>
      <c r="E86" s="166" t="str">
        <f t="shared" si="12"/>
        <v/>
      </c>
      <c r="F86" s="824"/>
      <c r="G86" s="825"/>
      <c r="H86" s="163" t="str">
        <f t="shared" si="13"/>
        <v/>
      </c>
      <c r="I86" s="321" t="str">
        <f t="shared" si="43"/>
        <v/>
      </c>
      <c r="J86" s="806" t="str">
        <f>IFERROR(IF(F86="","",VLOOKUP(F86,'10. Condition and Temporal'!$B$6:$F$103,5,FALSE)), "Error ▲")</f>
        <v/>
      </c>
      <c r="K86" s="807"/>
      <c r="L86" s="283" t="str">
        <f t="shared" si="44"/>
        <v/>
      </c>
      <c r="M86" s="695" t="str">
        <f t="shared" si="45"/>
        <v/>
      </c>
      <c r="N86" s="696"/>
      <c r="O86" s="74"/>
      <c r="P86" s="12"/>
      <c r="R86" s="739"/>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175</v>
      </c>
      <c r="BX86" s="95">
        <f>BT66</f>
        <v>0</v>
      </c>
    </row>
    <row r="87" spans="1:76" s="25" customFormat="1" ht="16.5" thickBot="1">
      <c r="A87" s="89"/>
      <c r="B87" s="265">
        <v>20</v>
      </c>
      <c r="C87" s="138" t="str">
        <f t="shared" si="11"/>
        <v/>
      </c>
      <c r="D87" s="420" t="str">
        <f t="shared" si="42"/>
        <v/>
      </c>
      <c r="E87" s="167" t="str">
        <f t="shared" si="12"/>
        <v/>
      </c>
      <c r="F87" s="852"/>
      <c r="G87" s="853"/>
      <c r="H87" s="164" t="str">
        <f t="shared" si="13"/>
        <v/>
      </c>
      <c r="I87" s="427" t="str">
        <f t="shared" si="43"/>
        <v/>
      </c>
      <c r="J87" s="838" t="str">
        <f>IFERROR(IF(F87="","",VLOOKUP(F87,'10. Condition and Temporal'!$B$6:$F$103,5,FALSE)), "Error ▲")</f>
        <v/>
      </c>
      <c r="K87" s="839"/>
      <c r="L87" s="422" t="str">
        <f t="shared" si="44"/>
        <v/>
      </c>
      <c r="M87" s="834" t="str">
        <f t="shared" si="45"/>
        <v/>
      </c>
      <c r="N87" s="835"/>
      <c r="O87" s="75"/>
      <c r="P87" s="14"/>
      <c r="R87" s="739"/>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176</v>
      </c>
      <c r="BX87" s="95">
        <f>BU66</f>
        <v>0</v>
      </c>
    </row>
    <row r="88" spans="1:76" s="25" customFormat="1" ht="32.450000000000003" hidden="1" customHeight="1" thickBot="1">
      <c r="A88" s="89"/>
      <c r="B88" s="267" t="s">
        <v>92</v>
      </c>
      <c r="C88" s="97" t="s">
        <v>93</v>
      </c>
      <c r="D88" s="402" t="s">
        <v>94</v>
      </c>
      <c r="E88" s="97" t="str">
        <f t="shared" si="12"/>
        <v>Condition</v>
      </c>
      <c r="F88" s="850" t="s">
        <v>94</v>
      </c>
      <c r="G88" s="851"/>
      <c r="H88" s="403" t="s">
        <v>115</v>
      </c>
      <c r="I88" s="404">
        <v>0</v>
      </c>
      <c r="J88" s="693" t="str">
        <f>IF(F88="","",VLOOKUP(F88,'10. Condition and Temporal'!$B$6:$F$103,5,FALSE))</f>
        <v>Good</v>
      </c>
      <c r="K88" s="694"/>
      <c r="L88" s="405">
        <f t="shared" ref="L88" si="51">IFERROR(IF(D88="","",IF(AX88="Distinctiveness",(((((I88*AH88*AJ88)-(I88*V88*X88))*(AV88*AT88))+(I88*V88*X88))*(AP88))/10000,((((I88*AJ88*AH88)-(I88*V88*X88))*(AV88*AR88))+(I88*V88*X88))*AP88/10000)),"This intervention is not permitted within the SSM ▲")</f>
        <v>0</v>
      </c>
      <c r="M88" s="820">
        <f>L88-AD88</f>
        <v>0</v>
      </c>
      <c r="N88" s="738"/>
      <c r="O88" s="406"/>
      <c r="P88" s="39"/>
      <c r="R88" s="739"/>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75" thickBot="1">
      <c r="H89" s="176" t="s">
        <v>96</v>
      </c>
      <c r="I89" s="318">
        <f>SUMIFS(I68:I87,F68:F87,"&lt;&gt;"&amp;'11. Lists'!Q10,F68:F87,"&lt;&gt;"&amp;'11. Lists'!Q11,F68:F87,"&lt;&gt;"&amp;'11. Lists'!I4,F68:F87,"&lt;&gt;"&amp;'11. Lists'!I2,F68:F87,"&lt;&gt;"&amp;'11. Lists'!I3)</f>
        <v>0</v>
      </c>
      <c r="J89" s="218"/>
      <c r="K89" s="216"/>
      <c r="L89" s="284">
        <f>SUM(L68:L88)</f>
        <v>0</v>
      </c>
      <c r="M89" s="736">
        <f>SUM(M68:N88)</f>
        <v>0</v>
      </c>
      <c r="N89" s="738"/>
      <c r="R89" s="739"/>
    </row>
    <row r="90" spans="1:76" s="25" customFormat="1">
      <c r="C90" s="26"/>
      <c r="R90" s="739"/>
    </row>
    <row r="91" spans="1:76" s="25" customFormat="1" ht="21">
      <c r="B91" s="57" t="s">
        <v>177</v>
      </c>
      <c r="R91" s="739"/>
    </row>
    <row r="92" spans="1:76" s="25" customFormat="1" ht="15.75" thickBot="1">
      <c r="D92" s="88"/>
      <c r="R92" s="739"/>
    </row>
    <row r="93" spans="1:76" s="25" customFormat="1" ht="48" customHeight="1">
      <c r="B93" s="652" t="s">
        <v>178</v>
      </c>
      <c r="C93" s="653"/>
      <c r="D93" s="656" t="s">
        <v>179</v>
      </c>
      <c r="E93" s="658" t="s">
        <v>180</v>
      </c>
      <c r="F93" s="659"/>
      <c r="G93" s="658" t="s">
        <v>181</v>
      </c>
      <c r="H93" s="653"/>
      <c r="I93" s="662" t="s">
        <v>182</v>
      </c>
      <c r="J93" s="663"/>
      <c r="K93" s="663"/>
      <c r="L93" s="663"/>
      <c r="M93" s="663"/>
      <c r="N93" s="663"/>
      <c r="O93" s="663"/>
      <c r="P93" s="664"/>
      <c r="R93" s="739"/>
    </row>
    <row r="94" spans="1:76" s="25" customFormat="1" ht="15.75" customHeight="1" thickBot="1">
      <c r="B94" s="654"/>
      <c r="C94" s="655"/>
      <c r="D94" s="657"/>
      <c r="E94" s="660"/>
      <c r="F94" s="661"/>
      <c r="G94" s="660"/>
      <c r="H94" s="655"/>
      <c r="I94" s="665" t="s">
        <v>183</v>
      </c>
      <c r="J94" s="666"/>
      <c r="K94" s="667"/>
      <c r="L94" s="668" t="s">
        <v>184</v>
      </c>
      <c r="M94" s="666"/>
      <c r="N94" s="667"/>
      <c r="O94" s="668" t="s">
        <v>185</v>
      </c>
      <c r="P94" s="677"/>
      <c r="R94" s="739"/>
    </row>
    <row r="95" spans="1:76" s="25" customFormat="1" ht="23.25" customHeight="1">
      <c r="B95" s="812" t="s">
        <v>186</v>
      </c>
      <c r="C95" s="813"/>
      <c r="D95" s="155">
        <v>0</v>
      </c>
      <c r="E95" s="836">
        <v>0</v>
      </c>
      <c r="F95" s="837"/>
      <c r="G95" s="678">
        <v>0</v>
      </c>
      <c r="H95" s="679"/>
      <c r="I95" s="833">
        <f>D95*'11. Lists'!P47</f>
        <v>0</v>
      </c>
      <c r="J95" s="828"/>
      <c r="K95" s="829"/>
      <c r="L95" s="827">
        <f>IF(E95&gt;D95, "Error ▲", E95*'11. Lists'!P47)</f>
        <v>0</v>
      </c>
      <c r="M95" s="828"/>
      <c r="N95" s="829"/>
      <c r="O95" s="827">
        <f>G95*'11. Lists'!P47</f>
        <v>0</v>
      </c>
      <c r="P95" s="843"/>
      <c r="R95" s="739"/>
    </row>
    <row r="96" spans="1:76" s="25" customFormat="1" ht="24.75" customHeight="1">
      <c r="B96" s="669" t="s">
        <v>187</v>
      </c>
      <c r="C96" s="670"/>
      <c r="D96" s="213">
        <v>3</v>
      </c>
      <c r="E96" s="671">
        <v>0</v>
      </c>
      <c r="F96" s="672"/>
      <c r="G96" s="680">
        <v>6</v>
      </c>
      <c r="H96" s="681"/>
      <c r="I96" s="673">
        <f>D96*'11. Lists'!P48</f>
        <v>488.33280000000002</v>
      </c>
      <c r="J96" s="674"/>
      <c r="K96" s="675"/>
      <c r="L96" s="676">
        <f>IF(E96&gt;D96,"Error ▲",(E96*'11. Lists'!P48))</f>
        <v>0</v>
      </c>
      <c r="M96" s="674"/>
      <c r="N96" s="675"/>
      <c r="O96" s="676">
        <f>G96*'11. Lists'!P48</f>
        <v>976.66560000000004</v>
      </c>
      <c r="P96" s="844"/>
      <c r="R96" s="739"/>
    </row>
    <row r="97" spans="1:18" s="25" customFormat="1" ht="24.75" customHeight="1">
      <c r="B97" s="669" t="s">
        <v>188</v>
      </c>
      <c r="C97" s="670"/>
      <c r="D97" s="213">
        <v>0</v>
      </c>
      <c r="E97" s="671">
        <v>0</v>
      </c>
      <c r="F97" s="672"/>
      <c r="G97" s="680">
        <v>13</v>
      </c>
      <c r="H97" s="681"/>
      <c r="I97" s="673">
        <f>D97*'11. Lists'!P49</f>
        <v>0</v>
      </c>
      <c r="J97" s="674"/>
      <c r="K97" s="675"/>
      <c r="L97" s="676">
        <f>IF(E97&gt;D97,"Error ▲",(E97*'11. Lists'!P49))</f>
        <v>0</v>
      </c>
      <c r="M97" s="674"/>
      <c r="N97" s="675"/>
      <c r="O97" s="676">
        <f>G97*'11. Lists'!P49</f>
        <v>4761.2448000000004</v>
      </c>
      <c r="P97" s="844"/>
      <c r="R97" s="739"/>
    </row>
    <row r="98" spans="1:18" s="25" customFormat="1" ht="24.75" customHeight="1">
      <c r="B98" s="669" t="s">
        <v>189</v>
      </c>
      <c r="C98" s="670"/>
      <c r="D98" s="213">
        <v>0</v>
      </c>
      <c r="E98" s="671">
        <v>0</v>
      </c>
      <c r="F98" s="672"/>
      <c r="G98" s="680">
        <v>0</v>
      </c>
      <c r="H98" s="681"/>
      <c r="I98" s="673">
        <f>D98*'11. Lists'!P50</f>
        <v>0</v>
      </c>
      <c r="J98" s="674"/>
      <c r="K98" s="675"/>
      <c r="L98" s="676">
        <f>IF(E98&gt;D98,"Error ▲",(E98*'11. Lists'!P50))</f>
        <v>0</v>
      </c>
      <c r="M98" s="674"/>
      <c r="N98" s="675"/>
      <c r="O98" s="676">
        <f>G98*'11. Lists'!P50</f>
        <v>0</v>
      </c>
      <c r="P98" s="844"/>
      <c r="R98" s="739"/>
    </row>
    <row r="99" spans="1:18" s="25" customFormat="1" ht="24.75" customHeight="1" thickBot="1">
      <c r="B99" s="645" t="s">
        <v>190</v>
      </c>
      <c r="C99" s="811"/>
      <c r="D99" s="285">
        <f>SUM(D95:D98)</f>
        <v>3</v>
      </c>
      <c r="E99" s="814">
        <f>SUM(E95:F98)</f>
        <v>0</v>
      </c>
      <c r="F99" s="815"/>
      <c r="G99" s="814">
        <f>SUM(G95:H98)</f>
        <v>19</v>
      </c>
      <c r="H99" s="842"/>
      <c r="I99" s="815">
        <f>SUM(I95:K98)</f>
        <v>488.33280000000002</v>
      </c>
      <c r="J99" s="826"/>
      <c r="K99" s="826"/>
      <c r="L99" s="826">
        <f>SUM(L95:N98)</f>
        <v>0</v>
      </c>
      <c r="M99" s="826"/>
      <c r="N99" s="826"/>
      <c r="O99" s="814">
        <f>SUM(O95:P98)</f>
        <v>5737.9104000000007</v>
      </c>
      <c r="P99" s="842"/>
      <c r="R99" s="739"/>
    </row>
    <row r="100" spans="1:18" s="25" customFormat="1" ht="19.350000000000001" customHeight="1">
      <c r="E100" s="830" t="str">
        <f>IFERROR(IF(OR(E95&gt;D95, E96&gt;D96, E97&gt;D97, E98&gt;D98), "Error - trees retained and lost is greater than number of pre-development trees ▲", ""), "Error  ▲")</f>
        <v/>
      </c>
      <c r="F100" s="830"/>
      <c r="G100" s="830"/>
      <c r="R100" s="739"/>
    </row>
    <row r="101" spans="1:18" s="25" customFormat="1">
      <c r="R101" s="739"/>
    </row>
    <row r="102" spans="1:18" s="25" customFormat="1">
      <c r="A102" s="805" t="s">
        <v>191</v>
      </c>
      <c r="B102" s="805"/>
      <c r="C102" s="805"/>
      <c r="D102" s="805"/>
      <c r="E102" s="805"/>
      <c r="F102" s="805"/>
      <c r="G102" s="805"/>
      <c r="H102" s="805"/>
      <c r="I102" s="805"/>
      <c r="J102" s="805"/>
      <c r="K102" s="805"/>
      <c r="L102" s="805"/>
      <c r="M102" s="805"/>
      <c r="N102" s="805"/>
      <c r="O102" s="805"/>
      <c r="P102" s="805"/>
      <c r="Q102" s="805"/>
      <c r="R102" s="739"/>
    </row>
    <row r="103" spans="1:18" s="25" customFormat="1">
      <c r="A103" s="805"/>
      <c r="B103" s="805"/>
      <c r="C103" s="805"/>
      <c r="D103" s="805"/>
      <c r="E103" s="805"/>
      <c r="F103" s="805"/>
      <c r="G103" s="805"/>
      <c r="H103" s="805"/>
      <c r="I103" s="805"/>
      <c r="J103" s="805"/>
      <c r="K103" s="805"/>
      <c r="L103" s="805"/>
      <c r="M103" s="805"/>
      <c r="N103" s="805"/>
      <c r="O103" s="805"/>
      <c r="P103" s="805"/>
      <c r="Q103" s="805"/>
      <c r="R103" s="739"/>
    </row>
    <row r="104" spans="1:18" s="25" customFormat="1">
      <c r="A104" s="805"/>
      <c r="B104" s="805"/>
      <c r="C104" s="805"/>
      <c r="D104" s="805"/>
      <c r="E104" s="805"/>
      <c r="F104" s="805"/>
      <c r="G104" s="805"/>
      <c r="H104" s="805"/>
      <c r="I104" s="805"/>
      <c r="J104" s="805"/>
      <c r="K104" s="805"/>
      <c r="L104" s="805"/>
      <c r="M104" s="805"/>
      <c r="N104" s="805"/>
      <c r="O104" s="805"/>
      <c r="P104" s="805"/>
      <c r="Q104" s="805"/>
      <c r="R104" s="739"/>
    </row>
    <row r="105" spans="1:18" s="25" customFormat="1">
      <c r="R105" s="739"/>
    </row>
    <row r="106" spans="1:18" s="25" customFormat="1" ht="21">
      <c r="B106" s="57" t="s">
        <v>192</v>
      </c>
      <c r="D106" s="26"/>
      <c r="E106" s="26"/>
      <c r="F106" s="26"/>
      <c r="G106" s="26"/>
      <c r="R106" s="739"/>
    </row>
    <row r="107" spans="1:18" s="25" customFormat="1" ht="15.75" thickBot="1">
      <c r="R107" s="739"/>
    </row>
    <row r="108" spans="1:18" s="25" customFormat="1" ht="36.75" customHeight="1">
      <c r="B108" s="759" t="s">
        <v>193</v>
      </c>
      <c r="C108" s="760"/>
      <c r="D108" s="761"/>
      <c r="E108" s="803" t="str">
        <f>IF(SUM(J114:J135)&gt;0,"Error - Trading Rules Not Satisfied - Insufficient Units Created Within Habitat Groups ▲", "Trading Rules Satisfied ✓")</f>
        <v>Trading Rules Satisfied ✓</v>
      </c>
      <c r="F108" s="803"/>
      <c r="G108" s="803"/>
      <c r="H108" s="803"/>
      <c r="I108" s="804"/>
      <c r="J108" s="157">
        <f>IFERROR(FIND("Error",E108),0)</f>
        <v>0</v>
      </c>
      <c r="R108" s="739"/>
    </row>
    <row r="109" spans="1:18" s="25" customFormat="1" ht="36" customHeight="1" thickBot="1">
      <c r="B109" s="808" t="s">
        <v>194</v>
      </c>
      <c r="C109" s="809"/>
      <c r="D109" s="810"/>
      <c r="E109" s="801" t="str">
        <f>IF(SUM(J138:J140)&gt;0,"Error - Trading Rules Not Satisfied - Insufficient Biodiversity Units Created ▲","Trading Rules Satisfied ✓")</f>
        <v>Trading Rules Satisfied ✓</v>
      </c>
      <c r="F109" s="801"/>
      <c r="G109" s="801"/>
      <c r="H109" s="801"/>
      <c r="I109" s="802"/>
      <c r="J109" s="157">
        <f>IFERROR(FIND("Error",E109),0)</f>
        <v>0</v>
      </c>
      <c r="R109" s="739"/>
    </row>
    <row r="110" spans="1:18" s="25" customFormat="1">
      <c r="R110" s="739"/>
    </row>
    <row r="111" spans="1:18" s="25" customFormat="1" ht="21">
      <c r="B111" s="57" t="s">
        <v>195</v>
      </c>
      <c r="R111" s="739"/>
    </row>
    <row r="112" spans="1:18" s="25" customFormat="1" ht="15.75" thickBot="1">
      <c r="R112" s="739"/>
    </row>
    <row r="113" spans="2:18" s="25" customFormat="1" ht="36.75" customHeight="1">
      <c r="B113" s="740" t="s">
        <v>196</v>
      </c>
      <c r="C113" s="741"/>
      <c r="D113" s="741"/>
      <c r="E113" s="212" t="s">
        <v>197</v>
      </c>
      <c r="F113" s="212" t="s">
        <v>198</v>
      </c>
      <c r="G113" s="212" t="s">
        <v>199</v>
      </c>
      <c r="H113" s="212" t="s">
        <v>200</v>
      </c>
      <c r="I113" s="120" t="s">
        <v>201</v>
      </c>
      <c r="J113" s="430"/>
      <c r="R113" s="739"/>
    </row>
    <row r="114" spans="2:18" s="25" customFormat="1" ht="15.75" customHeight="1">
      <c r="B114" s="742" t="s">
        <v>202</v>
      </c>
      <c r="C114" s="743"/>
      <c r="D114" s="744"/>
      <c r="E114" s="121" t="s">
        <v>203</v>
      </c>
      <c r="F114" s="122">
        <f>SUMIFS($L$11:$L$30,$C$11:$C$30,$B114,$T$11:$T$30,$E114)</f>
        <v>0</v>
      </c>
      <c r="G114" s="122">
        <f>SUMIFS($L$40:$L$59,$C$40:$C$59,$B114,$T$40:$T$59,$E114)+SUMIFS($L$68:$L$87,AY68:AY87,B114,$AG$68:$AG$87,E114)+SUMIFS($AE$11:$AE$31,$C$11:$C$31,B114,$T$11:$T$31,E114)</f>
        <v>0</v>
      </c>
      <c r="H114" s="122">
        <f>G114-F114</f>
        <v>0</v>
      </c>
      <c r="I114" s="123" t="s">
        <v>204</v>
      </c>
      <c r="J114" s="157"/>
      <c r="R114" s="739"/>
    </row>
    <row r="115" spans="2:18" s="25" customFormat="1" ht="15.75" customHeight="1">
      <c r="B115" s="745"/>
      <c r="C115" s="746"/>
      <c r="D115" s="747"/>
      <c r="E115" s="124" t="s">
        <v>205</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39"/>
    </row>
    <row r="116" spans="2:18" s="25" customFormat="1" ht="15.75" customHeight="1">
      <c r="B116" s="742" t="s">
        <v>206</v>
      </c>
      <c r="C116" s="743"/>
      <c r="D116" s="744"/>
      <c r="E116" s="121" t="s">
        <v>203</v>
      </c>
      <c r="F116" s="122">
        <f>SUMIFS($L$11:$L$30,$C$11:$C$30,$B116,$T$11:$T$30,$E116)</f>
        <v>2.3479999999999999</v>
      </c>
      <c r="G116" s="122">
        <f>SUMIFS($L$40:$L$59,$C$40:$C$59,$B116,$T$40:$T$59,$E116)+SUMIFS($L$68:$L$87,AY68:AY87,B116,$AG$68:$AG$87,E116)+SUMIFS($AE$11:$AE$31,$C$11:$C$31,B116,$T$11:$T$31,E116)</f>
        <v>1.5106760000000001</v>
      </c>
      <c r="H116" s="122">
        <f>G116-F116</f>
        <v>-0.83732399999999974</v>
      </c>
      <c r="I116" s="123" t="s">
        <v>204</v>
      </c>
      <c r="J116" s="157"/>
      <c r="R116" s="739"/>
    </row>
    <row r="117" spans="2:18" s="25" customFormat="1" ht="15.75" customHeight="1">
      <c r="B117" s="745"/>
      <c r="C117" s="746"/>
      <c r="D117" s="747"/>
      <c r="E117" s="124" t="s">
        <v>205</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39"/>
    </row>
    <row r="118" spans="2:18" s="25" customFormat="1" ht="15.75" customHeight="1">
      <c r="B118" s="742" t="s">
        <v>207</v>
      </c>
      <c r="C118" s="743"/>
      <c r="D118" s="744"/>
      <c r="E118" s="121" t="s">
        <v>203</v>
      </c>
      <c r="F118" s="122">
        <f>SUMIFS($L$11:$L$30,$C$11:$C$30,$B118,$T$11:$T$30,$E118)</f>
        <v>0</v>
      </c>
      <c r="G118" s="122">
        <f>SUMIFS($L$40:$L$59,$C$40:$C$59,$B118,$T$40:$T$59,$E118)+SUMIFS($L$68:$L$87,$C$68:$C$87,B118,$AG$68:$AG$87,E118)+SUMIFS($AE$11:$AE$31,$C$11:$C$31,B118,$T$11:$T$31,E118)</f>
        <v>0</v>
      </c>
      <c r="H118" s="122">
        <f t="shared" si="54"/>
        <v>0</v>
      </c>
      <c r="I118" s="123" t="s">
        <v>204</v>
      </c>
      <c r="J118" s="157"/>
      <c r="R118" s="739"/>
    </row>
    <row r="119" spans="2:18" s="25" customFormat="1" ht="15.75" customHeight="1">
      <c r="B119" s="745"/>
      <c r="C119" s="746"/>
      <c r="D119" s="747"/>
      <c r="E119" s="124" t="s">
        <v>205</v>
      </c>
      <c r="F119" s="122">
        <f>SUMIFS($L$11:$L$30,$C$11:$C$30,$B118,$T$11:$T$30,$E119)</f>
        <v>0.45600000000000002</v>
      </c>
      <c r="G119" s="122">
        <f>SUMIFS($L$40:$L$59,$C$40:$C$59,$B118,$T$40:$T$59,$E119)+SUMIFS($L$68:$L$87,$C$68:$C$87,B118,$AG$68:$AG$87,E119)+SUMIFS($AE$11:$AE$31,$C$11:$C$31,B118,$T$11:$T$31,E119)</f>
        <v>0.45600000000000002</v>
      </c>
      <c r="H119" s="122">
        <f t="shared" si="54"/>
        <v>0</v>
      </c>
      <c r="I119" s="125" t="str">
        <f>IF(F119=0,"N/A",IF(H119&lt;0,"No ▲","Yes ✓"))</f>
        <v>Yes ✓</v>
      </c>
      <c r="J119" s="157">
        <f>IF(I119="No ▲",1,0)</f>
        <v>0</v>
      </c>
      <c r="R119" s="739"/>
    </row>
    <row r="120" spans="2:18" s="25" customFormat="1" ht="15.75" customHeight="1">
      <c r="B120" s="742" t="s">
        <v>208</v>
      </c>
      <c r="C120" s="743"/>
      <c r="D120" s="744"/>
      <c r="E120" s="121" t="s">
        <v>203</v>
      </c>
      <c r="F120" s="122">
        <f>SUMIFS($L$11:$L$30,$C$11:$C$30,$B120,$T$11:$T$30,$E120)</f>
        <v>0</v>
      </c>
      <c r="G120" s="122">
        <f>SUMIFS($L$40:$L$59,$C$40:$C$59,$B120,$T$40:$T$59,$E120)+SUMIFS($L$68:$L$87,$C$68:$C$87,B120,$AG$68:$AG$87,E120)+SUMIFS($AE$11:$AE$31,$C$11:$C$31,B120,$T$11:$T$31,E120)</f>
        <v>0</v>
      </c>
      <c r="H120" s="122">
        <f>G120-F120</f>
        <v>0</v>
      </c>
      <c r="I120" s="123" t="s">
        <v>204</v>
      </c>
      <c r="J120" s="157"/>
      <c r="R120" s="739"/>
    </row>
    <row r="121" spans="2:18" s="25" customFormat="1" ht="15.75" customHeight="1">
      <c r="B121" s="745"/>
      <c r="C121" s="746"/>
      <c r="D121" s="747"/>
      <c r="E121" s="124" t="s">
        <v>205</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39"/>
    </row>
    <row r="122" spans="2:18" s="25" customFormat="1" ht="15.75" customHeight="1">
      <c r="B122" s="742" t="s">
        <v>209</v>
      </c>
      <c r="C122" s="743"/>
      <c r="D122" s="744"/>
      <c r="E122" s="121" t="s">
        <v>203</v>
      </c>
      <c r="F122" s="122">
        <f>SUMIFS($L$11:$L$30,$C$11:$C$30,$B122,$T$11:$T$30,$E122)</f>
        <v>0</v>
      </c>
      <c r="G122" s="122">
        <f>SUMIFS($L$40:$L$59,$C$40:$C$59,$B122,$T$40:$T$59,$E122)+SUMIFS($L$68:$L$87,$C$68:$C$87,B122,$AG$68:$AG$87,E122)+SUMIFS($AE$11:$AE$31,$C$11:$C$31,B122,$T$11:$T$31,E122)</f>
        <v>0</v>
      </c>
      <c r="H122" s="122">
        <f t="shared" si="54"/>
        <v>0</v>
      </c>
      <c r="I122" s="123" t="s">
        <v>204</v>
      </c>
      <c r="J122" s="157"/>
      <c r="R122" s="739"/>
    </row>
    <row r="123" spans="2:18" s="25" customFormat="1" ht="15.75" customHeight="1">
      <c r="B123" s="745"/>
      <c r="C123" s="746"/>
      <c r="D123" s="747"/>
      <c r="E123" s="124" t="s">
        <v>205</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39"/>
    </row>
    <row r="124" spans="2:18" s="25" customFormat="1" ht="15.75" customHeight="1">
      <c r="B124" s="742" t="s">
        <v>210</v>
      </c>
      <c r="C124" s="743"/>
      <c r="D124" s="744"/>
      <c r="E124" s="121" t="s">
        <v>203</v>
      </c>
      <c r="F124" s="122">
        <f>SUMIFS($L$11:$L$30,$C$11:$C$30,$B124,$T$11:$T$30,$E124)</f>
        <v>0.41</v>
      </c>
      <c r="G124" s="122">
        <f>SUMIFS($L$40:$L$59,$C$40:$C$59,$B124,$T$40:$T$59,$E124)+SUMIFS($L$68:$L$87,$C$68:$C$87,B124,$AG$68:$AG$87,E124)+SUMIFS($AE$11:$AE$31,$C$11:$C$31,B124,$T$11:$T$31,E124)</f>
        <v>0.41</v>
      </c>
      <c r="H124" s="122">
        <f t="shared" si="54"/>
        <v>0</v>
      </c>
      <c r="I124" s="123" t="s">
        <v>204</v>
      </c>
      <c r="J124" s="157"/>
      <c r="R124" s="739"/>
    </row>
    <row r="125" spans="2:18" s="25" customFormat="1" ht="15.75" customHeight="1">
      <c r="B125" s="745"/>
      <c r="C125" s="746"/>
      <c r="D125" s="747"/>
      <c r="E125" s="124" t="s">
        <v>205</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39"/>
    </row>
    <row r="126" spans="2:18" s="25" customFormat="1" ht="15.75" customHeight="1">
      <c r="B126" s="742" t="s">
        <v>211</v>
      </c>
      <c r="C126" s="743"/>
      <c r="D126" s="744"/>
      <c r="E126" s="121" t="s">
        <v>203</v>
      </c>
      <c r="F126" s="122">
        <f>SUMIFS($L$11:$L$30,$C$11:$C$30,$B126,$T$11:$T$30,$E126)</f>
        <v>0</v>
      </c>
      <c r="G126" s="122">
        <f>SUMIFS($L$40:$L$59,$C$40:$C$59,$B126,$T$40:$T$59,$E126)+SUMIFS($L$68:$L$87,AY68:AY87,B126,$AG$68:$AG$87,E126)+SUMIFS($AE$11:$AE$31,$C$11:$C$31,B126,$T$11:$T$31,E126)</f>
        <v>0</v>
      </c>
      <c r="H126" s="122">
        <f t="shared" si="54"/>
        <v>0</v>
      </c>
      <c r="I126" s="123" t="s">
        <v>204</v>
      </c>
      <c r="J126" s="157"/>
      <c r="R126" s="739"/>
    </row>
    <row r="127" spans="2:18" s="25" customFormat="1" ht="15.75" customHeight="1">
      <c r="B127" s="745"/>
      <c r="C127" s="746"/>
      <c r="D127" s="747"/>
      <c r="E127" s="124" t="s">
        <v>205</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39"/>
    </row>
    <row r="128" spans="2:18" s="25" customFormat="1" ht="15.75" customHeight="1">
      <c r="B128" s="742" t="s">
        <v>212</v>
      </c>
      <c r="C128" s="743"/>
      <c r="D128" s="744"/>
      <c r="E128" s="121" t="s">
        <v>203</v>
      </c>
      <c r="F128" s="122">
        <f>SUMIFS($L$11:$L$30,$C$11:$C$30,$B128,$T$11:$T$30,$E128)</f>
        <v>0</v>
      </c>
      <c r="G128" s="122">
        <f>SUMIFS($L$40:$L$59,$C$40:$C$59,$B128,$T$40:$T$59,$E128)+SUMIFS($L$68:$L$87,AY68:AY87,B128,$AG$68:$AG$87,E128)+SUMIFS($AE$11:$AE$31,$C$11:$C$31,B128,$T$11:$T$31,E128)</f>
        <v>0</v>
      </c>
      <c r="H128" s="122">
        <f t="shared" si="54"/>
        <v>0</v>
      </c>
      <c r="I128" s="123" t="s">
        <v>204</v>
      </c>
      <c r="J128" s="157"/>
      <c r="R128" s="739"/>
    </row>
    <row r="129" spans="2:18" s="25" customFormat="1" ht="15.75" customHeight="1">
      <c r="B129" s="745"/>
      <c r="C129" s="746"/>
      <c r="D129" s="747"/>
      <c r="E129" s="124" t="s">
        <v>205</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39"/>
    </row>
    <row r="130" spans="2:18" s="25" customFormat="1" ht="15.75" customHeight="1">
      <c r="B130" s="742" t="s">
        <v>213</v>
      </c>
      <c r="C130" s="743"/>
      <c r="D130" s="744"/>
      <c r="E130" s="121" t="s">
        <v>203</v>
      </c>
      <c r="F130" s="122">
        <f>SUMIFS($L$11:$L$30,$C$11:$C$30,$B130,$T$11:$T$30,$E130)</f>
        <v>0</v>
      </c>
      <c r="G130" s="122">
        <f>SUMIFS($L$40:$L$59,$C$40:$C$59,$B130,$T$40:$T$59,$E130)+SUMIFS($L$68:$L$87,$C$68:$C$87,B130,$AG$68:$AG$87,E130)+SUMIFS($AE$11:$AE$31,$C$11:$C$31,B130,$T$11:$T$31,E130)</f>
        <v>0</v>
      </c>
      <c r="H130" s="122">
        <f t="shared" si="54"/>
        <v>0</v>
      </c>
      <c r="I130" s="123" t="s">
        <v>204</v>
      </c>
      <c r="J130" s="157"/>
      <c r="R130" s="739"/>
    </row>
    <row r="131" spans="2:18" s="25" customFormat="1" ht="15.75" customHeight="1">
      <c r="B131" s="745"/>
      <c r="C131" s="746"/>
      <c r="D131" s="747"/>
      <c r="E131" s="124" t="s">
        <v>205</v>
      </c>
      <c r="F131" s="122">
        <f>SUMIFS($L$11:$L$30,$C$11:$C$30,$B130,$T$11:$T$30,$E131)</f>
        <v>0.99199999999999999</v>
      </c>
      <c r="G131" s="122">
        <f>SUMIFS($L$40:$L$59,$C$40:$C$59,$B130,$T$40:$T$59,$E131)+SUMIFS($L$68:$L$87,$C$68:$C$87,B130,$AG$68:$AG$87,E131)+SUMIFS($AE$11:$AE$31,$C$11:$C$31,B130,$T$11:$T$31,E131)</f>
        <v>0.99199999999999999</v>
      </c>
      <c r="H131" s="122">
        <f t="shared" si="54"/>
        <v>0</v>
      </c>
      <c r="I131" s="125" t="str">
        <f>IF(F131=0,"N/A",IF(H131&lt;0,"No ▲","Yes ✓"))</f>
        <v>Yes ✓</v>
      </c>
      <c r="J131" s="157">
        <f>IF(I131="No ▲",1,0)</f>
        <v>0</v>
      </c>
      <c r="R131" s="739"/>
    </row>
    <row r="132" spans="2:18" s="25" customFormat="1" ht="15.75" customHeight="1">
      <c r="B132" s="742" t="s">
        <v>214</v>
      </c>
      <c r="C132" s="743"/>
      <c r="D132" s="743"/>
      <c r="E132" s="121" t="s">
        <v>203</v>
      </c>
      <c r="F132" s="122">
        <f>SUMIFS($L$11:$L$30,$C$11:$C$30,$B132,$T$11:$T$30,$E132)</f>
        <v>0</v>
      </c>
      <c r="G132" s="122">
        <f>SUMIFS($L$40:$L$59,$C$40:$C$59,$B132,$T$40:$T$59,$E132)+SUMIFS($L$68:$L$87,$C$68:$C$87,B132,$AG$68:$AG$87,E132)+SUMIFS($AE$11:$AE$31,$C$11:$C$31,B132,$T$11:$T$31,E132)</f>
        <v>0</v>
      </c>
      <c r="H132" s="122">
        <f>G132-F132</f>
        <v>0</v>
      </c>
      <c r="I132" s="123" t="s">
        <v>204</v>
      </c>
      <c r="J132" s="157"/>
      <c r="R132" s="739"/>
    </row>
    <row r="133" spans="2:18" s="25" customFormat="1" ht="15.75" customHeight="1">
      <c r="B133" s="757"/>
      <c r="C133" s="758"/>
      <c r="D133" s="758"/>
      <c r="E133" s="375" t="s">
        <v>205</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39"/>
    </row>
    <row r="134" spans="2:18" s="25" customFormat="1" ht="15.75" customHeight="1">
      <c r="B134" s="742" t="s">
        <v>93</v>
      </c>
      <c r="C134" s="743"/>
      <c r="D134" s="744"/>
      <c r="E134" s="121" t="s">
        <v>203</v>
      </c>
      <c r="F134" s="122">
        <f>SUMIFS($L$11:$L$31,$C$11:$C$31,$B134,$T$11:$T$31,$E134)</f>
        <v>0</v>
      </c>
      <c r="G134" s="122">
        <f>SUMIFS($L$40:$L$60,$C$40:$C$60,$B134,$T$40:$T$60,$E134)+SUMIFS($L$68:$L$88,$C$68:$C$88,B134,$AG$68:$AG$88,E134)+SUMIFS($AE$11:$AE$31,$C$11:$C$31,B134,$T$11:$T$31,E134)</f>
        <v>0</v>
      </c>
      <c r="H134" s="122">
        <f>G134-F134</f>
        <v>0</v>
      </c>
      <c r="I134" s="123" t="s">
        <v>204</v>
      </c>
      <c r="J134" s="157"/>
      <c r="R134" s="739"/>
    </row>
    <row r="135" spans="2:18" s="25" customFormat="1" ht="23.25" customHeight="1" thickBot="1">
      <c r="B135" s="762"/>
      <c r="C135" s="763"/>
      <c r="D135" s="764"/>
      <c r="E135" s="214" t="s">
        <v>205</v>
      </c>
      <c r="F135" s="215">
        <f>SUMIFS($L$11:$L$31,$C$11:$C$31,$B134,$T$11:$T$31,$E135)</f>
        <v>0.44926617599999996</v>
      </c>
      <c r="G135" s="215">
        <f>SUMIFS($L$40:$L$60,$C$40:$C$60,$B134,$T$40:$T$60,$E135)+SUMIFS($L$68:$L$88,$C$68:$C$88,B134,$AG$68:$AG$88,E135)+SUMIFS($AE$11:$AE$31,$C$11:$C$31,B134,$T$11:$T$31,E135)</f>
        <v>1.7542084940410014</v>
      </c>
      <c r="H135" s="215">
        <f>G135-F135</f>
        <v>1.3049423180410016</v>
      </c>
      <c r="I135" s="502" t="str">
        <f>IF(F135=0,"N/A",IF(H135&lt;0,"No ▲","Yes ✓"))</f>
        <v>Yes ✓</v>
      </c>
      <c r="J135" s="157">
        <f t="shared" ref="J135:J140" si="55">IF(I135="No ▲",1,0)</f>
        <v>0</v>
      </c>
      <c r="R135" s="739"/>
    </row>
    <row r="136" spans="2:18" s="25" customFormat="1" ht="15.75" customHeight="1" thickBot="1">
      <c r="J136" s="157"/>
      <c r="M136" s="26"/>
      <c r="R136" s="739"/>
    </row>
    <row r="137" spans="2:18" s="25" customFormat="1" ht="37.5">
      <c r="B137" s="759" t="s">
        <v>197</v>
      </c>
      <c r="C137" s="760"/>
      <c r="D137" s="760"/>
      <c r="E137" s="761"/>
      <c r="F137" s="126" t="s">
        <v>198</v>
      </c>
      <c r="G137" s="126" t="s">
        <v>199</v>
      </c>
      <c r="H137" s="126" t="s">
        <v>200</v>
      </c>
      <c r="I137" s="127" t="s">
        <v>201</v>
      </c>
      <c r="J137" s="157"/>
      <c r="M137" s="26"/>
      <c r="R137" s="739"/>
    </row>
    <row r="138" spans="2:18" s="25" customFormat="1" ht="30.75" customHeight="1">
      <c r="B138" s="751" t="s">
        <v>215</v>
      </c>
      <c r="C138" s="752"/>
      <c r="D138" s="752"/>
      <c r="E138" s="753"/>
      <c r="F138" s="122">
        <f>SUMIFS($L$11:$L$31,$T$11:$T$31,"Medium")</f>
        <v>1.897266176</v>
      </c>
      <c r="G138" s="156">
        <f>IF(L61+L89+P1=0,0,SUMIFS($L$40:$L$60,$T$40:$T$60,"Medium")+SUMIFS($L$68:$L$87,$AG$68:$AG$87,"Medium")+SUMIFS($AE$11:$AE$31,$T$11:$T$31,"Medium"))</f>
        <v>3.2022084940410016</v>
      </c>
      <c r="H138" s="122">
        <f>IFERROR(G138-F138,"")</f>
        <v>1.3049423180410016</v>
      </c>
      <c r="I138" s="329" t="str">
        <f>IF(G138="","",IF(H138&gt;=0,"Yes ✓","No ▲"))</f>
        <v>Yes ✓</v>
      </c>
      <c r="J138" s="157">
        <f t="shared" si="55"/>
        <v>0</v>
      </c>
      <c r="R138" s="739" t="s">
        <v>55</v>
      </c>
    </row>
    <row r="139" spans="2:18" s="25" customFormat="1" ht="30.75" customHeight="1">
      <c r="B139" s="751" t="s">
        <v>216</v>
      </c>
      <c r="C139" s="752"/>
      <c r="D139" s="752"/>
      <c r="E139" s="753"/>
      <c r="F139" s="122">
        <f>SUMIFS($L$11:$L$31,$T$11:$T$31,"Low")</f>
        <v>2.758</v>
      </c>
      <c r="G139" s="156">
        <f>IF(L61+L89+P1=0,0,SUMIFS($L$40:$L$60,$T$40:$T$60,"Low")+SUMIFS($L$68:$L$88,$AG$68:$AG$88,"Low")+SUMIFS($AE$11:$AE$31,$T$11:$T$31,"Low"))</f>
        <v>1.920676</v>
      </c>
      <c r="H139" s="122">
        <f>IFERROR(G139-F139,"")</f>
        <v>-0.83732399999999996</v>
      </c>
      <c r="I139" s="329" t="str">
        <f>IF($I$142&gt;=0,"Yes ✓","No ▲")</f>
        <v>Yes ✓</v>
      </c>
      <c r="J139" s="157">
        <f t="shared" si="55"/>
        <v>0</v>
      </c>
      <c r="R139" s="739"/>
    </row>
    <row r="140" spans="2:18" s="25" customFormat="1" ht="41.25" customHeight="1" thickBot="1">
      <c r="B140" s="754" t="s">
        <v>217</v>
      </c>
      <c r="C140" s="755"/>
      <c r="D140" s="755"/>
      <c r="E140" s="756"/>
      <c r="F140" s="748">
        <f>IFERROR(H138+H139,"")</f>
        <v>0.46761831804100162</v>
      </c>
      <c r="G140" s="749"/>
      <c r="H140" s="750"/>
      <c r="I140" s="330" t="str">
        <f>IF(F140="","",IF(F140&gt;=0,"Yes ✓","No ▲"))</f>
        <v>Yes ✓</v>
      </c>
      <c r="J140" s="157">
        <f t="shared" si="55"/>
        <v>0</v>
      </c>
      <c r="R140" s="739"/>
    </row>
    <row r="141" spans="2:18" s="25" customFormat="1">
      <c r="R141" s="739"/>
    </row>
    <row r="142" spans="2:18" s="25" customFormat="1">
      <c r="I142" s="434">
        <f>IF($H$138&gt;0,($H$139+$H$138),$H$139)</f>
        <v>0.46761831804100162</v>
      </c>
      <c r="R142" s="739"/>
    </row>
    <row r="143" spans="2:18" s="25" customFormat="1">
      <c r="R143" s="739"/>
    </row>
    <row r="144" spans="2:18" s="25" customFormat="1">
      <c r="R144" s="739"/>
    </row>
    <row r="145" spans="18:18" s="25" customFormat="1">
      <c r="R145" s="739"/>
    </row>
    <row r="146" spans="18:18" s="25" customFormat="1">
      <c r="R146" s="739"/>
    </row>
    <row r="147" spans="18:18" s="25" customFormat="1">
      <c r="R147" s="739"/>
    </row>
    <row r="148" spans="18:18" s="25" customFormat="1">
      <c r="R148" s="739"/>
    </row>
    <row r="149" spans="18:18" s="25" customFormat="1">
      <c r="R149" s="739"/>
    </row>
    <row r="150" spans="18:18" s="25" customFormat="1">
      <c r="R150" s="739"/>
    </row>
    <row r="151" spans="18:18" s="25" customFormat="1">
      <c r="R151" s="739"/>
    </row>
    <row r="152" spans="18:18" s="25" customFormat="1">
      <c r="R152" s="739"/>
    </row>
    <row r="153" spans="18:18" s="25" customFormat="1">
      <c r="R153" s="739"/>
    </row>
    <row r="154" spans="18:18" s="25" customFormat="1">
      <c r="R154" s="739"/>
    </row>
    <row r="155" spans="18:18" s="25" customFormat="1">
      <c r="R155" s="739"/>
    </row>
    <row r="156" spans="18:18" s="25" customFormat="1">
      <c r="R156" s="739"/>
    </row>
    <row r="157" spans="18:18" s="25" customFormat="1">
      <c r="R157" s="739"/>
    </row>
    <row r="158" spans="18:18" s="25" customFormat="1">
      <c r="R158" s="739"/>
    </row>
    <row r="159" spans="18:18" s="25" customFormat="1">
      <c r="R159" s="739"/>
    </row>
    <row r="160" spans="18:18" s="25" customFormat="1">
      <c r="R160" s="739"/>
    </row>
    <row r="161" spans="18:18" s="25" customFormat="1">
      <c r="R161" s="739"/>
    </row>
    <row r="162" spans="18:18" s="25" customFormat="1">
      <c r="R162" s="739"/>
    </row>
    <row r="163" spans="18:18" s="25" customFormat="1">
      <c r="R163" s="739"/>
    </row>
    <row r="164" spans="18:18" s="25" customFormat="1">
      <c r="R164" s="739"/>
    </row>
    <row r="165" spans="18:18" s="25" customFormat="1">
      <c r="R165" s="739"/>
    </row>
    <row r="166" spans="18:18" s="25" customFormat="1">
      <c r="R166" s="739"/>
    </row>
    <row r="167" spans="18:18" s="25" customFormat="1">
      <c r="R167" s="739"/>
    </row>
    <row r="168" spans="18:18" s="25" customFormat="1">
      <c r="R168" s="739"/>
    </row>
    <row r="169" spans="18:18" s="25" customFormat="1">
      <c r="R169" s="739"/>
    </row>
  </sheetData>
  <sheetProtection algorithmName="SHA-512" hashValue="rsFdASMxyLnDo8IkIV7Oz7GB6MQlYQrKcjh4/1rrGzsCnMN8e+oyx4NVrw492eMJ0B8aqwKpBzG9N0LG0ETPHQ==" saltValue="nPSlTLoCZlsnf9MRvJ0giA=="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99" zoomScale="80" zoomScaleNormal="80" workbookViewId="0">
      <selection activeCell="I40" sqref="I40:K40"/>
    </sheetView>
  </sheetViews>
  <sheetFormatPr defaultColWidth="0" defaultRowHeight="15" zeroHeight="1"/>
  <cols>
    <col min="1" max="1" width="4.42578125" customWidth="1"/>
    <col min="2" max="2" width="14.85546875" customWidth="1"/>
    <col min="3" max="3" width="24.42578125" bestFit="1" customWidth="1"/>
    <col min="4" max="4" width="40.140625" customWidth="1"/>
    <col min="5" max="5" width="27" customWidth="1"/>
    <col min="6" max="6" width="18.42578125" customWidth="1"/>
    <col min="7" max="7" width="39.7109375" customWidth="1"/>
    <col min="8" max="8" width="49.28515625" bestFit="1" customWidth="1"/>
    <col min="9" max="9" width="14.42578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2.42578125" customWidth="1"/>
    <col min="20" max="20" width="16.7109375" customWidth="1"/>
    <col min="21" max="21" width="14.85546875" customWidth="1"/>
    <col min="22" max="22" width="20.7109375" bestFit="1" customWidth="1"/>
    <col min="23" max="23" width="23.7109375" customWidth="1"/>
    <col min="24" max="24" width="16.85546875" bestFit="1" customWidth="1"/>
    <col min="25" max="25" width="14" hidden="1" customWidth="1"/>
    <col min="26" max="26" width="22"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6" width="23.42578125" customWidth="1"/>
    <col min="37" max="37" width="23.42578125" hidden="1" customWidth="1"/>
    <col min="38" max="38" width="16.7109375" hidden="1" customWidth="1"/>
    <col min="39" max="39" width="13.28515625" hidden="1"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42578125" customWidth="1"/>
    <col min="75" max="80" width="8.85546875" customWidth="1"/>
    <col min="81" max="16384" width="8.85546875" hidden="1"/>
  </cols>
  <sheetData>
    <row r="1" spans="1:35" s="25" customFormat="1" ht="15.75" customHeight="1" thickBot="1">
      <c r="I1" s="52"/>
      <c r="J1" s="52"/>
      <c r="K1" s="52"/>
      <c r="L1" s="52"/>
      <c r="M1" s="52"/>
      <c r="N1" s="52"/>
      <c r="O1" s="154" t="s">
        <v>54</v>
      </c>
      <c r="P1" s="277">
        <f>IFERROR(SUM(AE11:AE30), "Error ▲")</f>
        <v>0.78</v>
      </c>
      <c r="R1" s="739" t="s">
        <v>55</v>
      </c>
      <c r="T1" s="26"/>
    </row>
    <row r="2" spans="1:35" s="25" customFormat="1" ht="20.100000000000001" customHeight="1">
      <c r="B2" s="80" t="s">
        <v>56</v>
      </c>
      <c r="C2" s="702" t="str">
        <f>IF('2. Site Details'!D4="","Enter site name on 2. Site Details",'2. Site Details'!D4)</f>
        <v>Jolesfield Cottages</v>
      </c>
      <c r="D2" s="703"/>
      <c r="F2" s="768" t="s">
        <v>218</v>
      </c>
      <c r="G2" s="769"/>
      <c r="H2" s="770"/>
      <c r="I2" s="52"/>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58</v>
      </c>
      <c r="P2" s="277">
        <f>IFERROR(N31, "Error ▲")</f>
        <v>0</v>
      </c>
      <c r="R2" s="739"/>
      <c r="T2" s="26"/>
    </row>
    <row r="3" spans="1:35" s="25" customFormat="1" ht="20.100000000000001" customHeight="1" thickBot="1">
      <c r="B3" s="82" t="s">
        <v>13</v>
      </c>
      <c r="C3" s="704" t="s">
        <v>219</v>
      </c>
      <c r="D3" s="705"/>
      <c r="F3" s="771"/>
      <c r="G3" s="772"/>
      <c r="H3" s="773"/>
      <c r="I3" s="52"/>
      <c r="J3" s="782"/>
      <c r="K3" s="782"/>
      <c r="L3" s="782"/>
      <c r="M3" s="782"/>
      <c r="N3" s="81"/>
      <c r="O3" s="83" t="s">
        <v>60</v>
      </c>
      <c r="P3" s="277">
        <f>IFERROR(L59, "Error ▲")</f>
        <v>7.8254443283999997E-2</v>
      </c>
      <c r="R3" s="739"/>
      <c r="T3" s="26"/>
    </row>
    <row r="4" spans="1:35" s="25" customFormat="1" ht="20.100000000000001" customHeight="1">
      <c r="B4" s="84"/>
      <c r="C4" s="84"/>
      <c r="D4" s="84"/>
      <c r="F4" s="771"/>
      <c r="G4" s="772"/>
      <c r="H4" s="773"/>
      <c r="I4" s="52"/>
      <c r="J4" s="782"/>
      <c r="K4" s="782"/>
      <c r="L4" s="782"/>
      <c r="M4" s="782"/>
      <c r="N4" s="81"/>
      <c r="O4" s="83" t="s">
        <v>61</v>
      </c>
      <c r="P4" s="277">
        <f>IFERROR(L86, "Error ▲")</f>
        <v>0</v>
      </c>
      <c r="R4" s="739"/>
      <c r="T4" s="26"/>
    </row>
    <row r="5" spans="1:35" s="25" customFormat="1" ht="20.100000000000001" customHeight="1" thickBot="1">
      <c r="A5" s="85"/>
      <c r="F5" s="771"/>
      <c r="G5" s="772"/>
      <c r="H5" s="773"/>
      <c r="I5" s="52"/>
      <c r="J5" s="782"/>
      <c r="K5" s="782"/>
      <c r="L5" s="782"/>
      <c r="M5" s="782"/>
      <c r="N5" s="81"/>
      <c r="O5" s="86" t="s">
        <v>62</v>
      </c>
      <c r="P5" s="278">
        <f>IFERROR(P1+L59+L86-L31, "Error ▲")</f>
        <v>7.8254443283999997E-2</v>
      </c>
      <c r="R5" s="739"/>
      <c r="T5" s="26"/>
    </row>
    <row r="6" spans="1:35" s="25" customFormat="1" ht="13.35" customHeight="1" thickBot="1">
      <c r="A6" s="85"/>
      <c r="F6" s="774"/>
      <c r="G6" s="775"/>
      <c r="H6" s="776"/>
      <c r="I6" s="52"/>
      <c r="J6" s="52"/>
      <c r="K6" s="52"/>
      <c r="L6" s="52"/>
      <c r="M6" s="52"/>
      <c r="N6" s="52"/>
      <c r="O6" s="87"/>
      <c r="P6" s="87"/>
      <c r="R6" s="739"/>
      <c r="T6" s="26"/>
    </row>
    <row r="7" spans="1:35" s="25" customFormat="1" ht="19.350000000000001" customHeight="1">
      <c r="B7" s="57" t="s">
        <v>63</v>
      </c>
      <c r="D7" s="88"/>
      <c r="H7" s="26"/>
      <c r="K7" s="26"/>
      <c r="L7" s="30"/>
      <c r="M7" s="30"/>
      <c r="N7" s="30"/>
      <c r="R7" s="739"/>
      <c r="T7" s="26"/>
    </row>
    <row r="8" spans="1:35" s="25" customFormat="1" ht="11.1" customHeight="1" thickBot="1">
      <c r="A8" s="89"/>
      <c r="R8" s="739"/>
    </row>
    <row r="9" spans="1:35" s="25" customFormat="1" ht="29.45" customHeight="1">
      <c r="A9" s="89"/>
      <c r="B9" s="717" t="s">
        <v>49</v>
      </c>
      <c r="C9" s="706" t="s">
        <v>64</v>
      </c>
      <c r="D9" s="716"/>
      <c r="E9" s="708"/>
      <c r="F9" s="652" t="s">
        <v>65</v>
      </c>
      <c r="G9" s="780"/>
      <c r="H9" s="653"/>
      <c r="I9" s="706" t="s">
        <v>220</v>
      </c>
      <c r="J9" s="716"/>
      <c r="K9" s="708"/>
      <c r="L9" s="794" t="s">
        <v>67</v>
      </c>
      <c r="M9" s="795"/>
      <c r="N9" s="796"/>
      <c r="O9" s="794" t="s">
        <v>68</v>
      </c>
      <c r="P9" s="796"/>
      <c r="R9" s="739"/>
      <c r="T9" s="682" t="s">
        <v>69</v>
      </c>
      <c r="U9" s="683"/>
      <c r="V9" s="874"/>
      <c r="W9" s="682" t="s">
        <v>70</v>
      </c>
      <c r="X9" s="684"/>
      <c r="Y9" s="798"/>
      <c r="Z9" s="798"/>
      <c r="AA9" s="798"/>
      <c r="AB9" s="797" t="s">
        <v>71</v>
      </c>
      <c r="AC9" s="683"/>
      <c r="AD9" s="684"/>
      <c r="AE9" s="682" t="s">
        <v>72</v>
      </c>
      <c r="AF9" s="683"/>
      <c r="AG9" s="684"/>
      <c r="AH9" s="682" t="s">
        <v>73</v>
      </c>
      <c r="AI9" s="684" t="s">
        <v>74</v>
      </c>
    </row>
    <row r="10" spans="1:35" s="25" customFormat="1" ht="32.450000000000003" customHeight="1" thickBot="1">
      <c r="A10" s="89"/>
      <c r="B10" s="665"/>
      <c r="C10" s="86" t="s">
        <v>75</v>
      </c>
      <c r="D10" s="767" t="s">
        <v>76</v>
      </c>
      <c r="E10" s="879"/>
      <c r="F10" s="654"/>
      <c r="G10" s="781"/>
      <c r="H10" s="655"/>
      <c r="I10" s="86" t="s">
        <v>221</v>
      </c>
      <c r="J10" s="197" t="s">
        <v>222</v>
      </c>
      <c r="K10" s="90" t="s">
        <v>223</v>
      </c>
      <c r="L10" s="392" t="s">
        <v>224</v>
      </c>
      <c r="M10" s="393" t="s">
        <v>225</v>
      </c>
      <c r="N10" s="394" t="s">
        <v>82</v>
      </c>
      <c r="O10" s="86" t="s">
        <v>83</v>
      </c>
      <c r="P10" s="90" t="s">
        <v>84</v>
      </c>
      <c r="R10" s="739"/>
      <c r="T10" s="783" t="s">
        <v>85</v>
      </c>
      <c r="U10" s="784"/>
      <c r="V10" s="341" t="s">
        <v>86</v>
      </c>
      <c r="W10" s="91" t="s">
        <v>87</v>
      </c>
      <c r="X10" s="92" t="s">
        <v>86</v>
      </c>
      <c r="Y10" s="346"/>
      <c r="Z10" s="346"/>
      <c r="AA10" s="346"/>
      <c r="AB10" s="334" t="s">
        <v>71</v>
      </c>
      <c r="AC10" s="49" t="s">
        <v>71</v>
      </c>
      <c r="AD10" s="92" t="s">
        <v>88</v>
      </c>
      <c r="AE10" s="91" t="s">
        <v>89</v>
      </c>
      <c r="AF10" s="49" t="s">
        <v>90</v>
      </c>
      <c r="AG10" s="92" t="s">
        <v>91</v>
      </c>
      <c r="AH10" s="783"/>
      <c r="AI10" s="878"/>
    </row>
    <row r="11" spans="1:35" s="25" customFormat="1" ht="30">
      <c r="A11" s="89"/>
      <c r="B11" s="270">
        <v>1</v>
      </c>
      <c r="C11" s="551" t="s">
        <v>226</v>
      </c>
      <c r="D11" s="880" t="s">
        <v>239</v>
      </c>
      <c r="E11" s="881"/>
      <c r="F11" s="882" t="s">
        <v>115</v>
      </c>
      <c r="G11" s="883"/>
      <c r="H11" s="884"/>
      <c r="I11" s="302">
        <v>195</v>
      </c>
      <c r="J11" s="303">
        <v>195</v>
      </c>
      <c r="K11" s="304"/>
      <c r="L11" s="295">
        <f>IF(D11="","",IFERROR(IF(I11="","",((I11/1000)*V11*X11)*AD11),"This intervention is not permitted within the SSM ▲"))</f>
        <v>0.78</v>
      </c>
      <c r="M11" s="314">
        <f>IF(I11="","",IF(J11+K11&gt;I11,"Length Error ▲",I11-J11-K11))</f>
        <v>0</v>
      </c>
      <c r="N11" s="296">
        <f>IFERROR(IF(I11="","",IF(M11="Length Error ▲","Length Error ▲",((M11/1000)*V11*X11)*AD11)),"This intervention is not permitted within the SSM ▲")</f>
        <v>0</v>
      </c>
      <c r="O11" s="143"/>
      <c r="P11" s="144"/>
      <c r="R11" s="739"/>
      <c r="T11" s="785" t="str">
        <f>IF(D11="","",VLOOKUP(D11,'9. All Habitats + Multipliers'!$C$4:$K$102,5,FALSE))</f>
        <v>Low</v>
      </c>
      <c r="U11" s="786"/>
      <c r="V11" s="344">
        <f>IF(T11="","",VLOOKUP(T11,'11. Lists'!$S$47:$U$50,2,FALSE))</f>
        <v>2</v>
      </c>
      <c r="W11" s="93" t="str">
        <f>IF(D11="","",VLOOKUP(D11,'10. Condition and Temporal'!$B$6:$C$103,2,FALSE))</f>
        <v>Moderate</v>
      </c>
      <c r="X11" s="94">
        <f>IF(W11="","",VLOOKUP(W11,'11. Lists'!$F$47:$G$51,2,FALSE))</f>
        <v>2</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0.78</v>
      </c>
      <c r="AF11" s="299">
        <f>IF(D11="","",((K11/1000)*V11*X11)*AD11)</f>
        <v>0</v>
      </c>
      <c r="AG11" s="96">
        <f>IF(D11="","",M11)</f>
        <v>0</v>
      </c>
      <c r="AH11" s="93" t="str">
        <f>IF(T11="","",VLOOKUP(T11,'11. Lists'!$B$47:$D$49,3,FALSE))</f>
        <v>Same distinctiveness or better habitat required</v>
      </c>
      <c r="AI11" s="94" t="str">
        <f>IF(D11="","",VLOOKUP(D11,'10. Condition and Temporal'!$B$6:$L$103,4,FALSE))</f>
        <v>Native hedgerow, Species-rich native hedgerow, Native hedgerow - associated with bank or ditch, Native hedgerow with trees</v>
      </c>
    </row>
    <row r="12" spans="1:35" s="25" customFormat="1" ht="30">
      <c r="B12" s="264">
        <v>2</v>
      </c>
      <c r="C12" s="551" t="s">
        <v>226</v>
      </c>
      <c r="D12" s="824"/>
      <c r="E12" s="825"/>
      <c r="F12" s="875"/>
      <c r="G12" s="876"/>
      <c r="H12" s="877"/>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39"/>
      <c r="T12" s="785" t="str">
        <f>IF(D12="","",VLOOKUP(D12,'9. All Habitats + Multipliers'!$C$4:$K$102,5,FALSE))</f>
        <v/>
      </c>
      <c r="U12" s="786"/>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30">
      <c r="B13" s="264">
        <v>3</v>
      </c>
      <c r="C13" s="551" t="s">
        <v>226</v>
      </c>
      <c r="D13" s="824"/>
      <c r="E13" s="825"/>
      <c r="F13" s="875"/>
      <c r="G13" s="876"/>
      <c r="H13" s="877"/>
      <c r="I13" s="305"/>
      <c r="J13" s="306"/>
      <c r="K13" s="307"/>
      <c r="L13" s="294" t="str">
        <f t="shared" si="0"/>
        <v/>
      </c>
      <c r="M13" s="301" t="str">
        <f t="shared" si="1"/>
        <v/>
      </c>
      <c r="N13" s="290" t="str">
        <f t="shared" si="2"/>
        <v/>
      </c>
      <c r="O13" s="286"/>
      <c r="P13" s="3"/>
      <c r="R13" s="739"/>
      <c r="T13" s="785" t="str">
        <f>IF(D13="","",VLOOKUP(D13,'9. All Habitats + Multipliers'!$C$4:$K$102,5,FALSE))</f>
        <v/>
      </c>
      <c r="U13" s="786"/>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30">
      <c r="B14" s="264">
        <v>4</v>
      </c>
      <c r="C14" s="551" t="s">
        <v>226</v>
      </c>
      <c r="D14" s="824"/>
      <c r="E14" s="825"/>
      <c r="F14" s="875"/>
      <c r="G14" s="876"/>
      <c r="H14" s="877"/>
      <c r="I14" s="305"/>
      <c r="J14" s="306"/>
      <c r="K14" s="307"/>
      <c r="L14" s="294" t="str">
        <f t="shared" si="0"/>
        <v/>
      </c>
      <c r="M14" s="301" t="str">
        <f t="shared" si="1"/>
        <v/>
      </c>
      <c r="N14" s="290" t="str">
        <f t="shared" si="2"/>
        <v/>
      </c>
      <c r="O14" s="68"/>
      <c r="P14" s="3"/>
      <c r="R14" s="739"/>
      <c r="T14" s="785" t="str">
        <f>IF(D14="","",VLOOKUP(D14,'9. All Habitats + Multipliers'!$C$4:$K$102,5,FALSE))</f>
        <v/>
      </c>
      <c r="U14" s="786"/>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30">
      <c r="B15" s="264">
        <v>5</v>
      </c>
      <c r="C15" s="551" t="s">
        <v>226</v>
      </c>
      <c r="D15" s="824"/>
      <c r="E15" s="825"/>
      <c r="F15" s="711"/>
      <c r="G15" s="712"/>
      <c r="H15" s="713"/>
      <c r="I15" s="305"/>
      <c r="J15" s="306"/>
      <c r="K15" s="307"/>
      <c r="L15" s="294" t="str">
        <f t="shared" si="0"/>
        <v/>
      </c>
      <c r="M15" s="301" t="str">
        <f t="shared" si="1"/>
        <v/>
      </c>
      <c r="N15" s="290" t="str">
        <f t="shared" si="2"/>
        <v/>
      </c>
      <c r="O15" s="68"/>
      <c r="P15" s="3"/>
      <c r="R15" s="739"/>
      <c r="T15" s="785" t="str">
        <f>IF(D15="","",VLOOKUP(D15,'9. All Habitats + Multipliers'!$C$4:$K$102,5,FALSE))</f>
        <v/>
      </c>
      <c r="U15" s="786"/>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30">
      <c r="B16" s="264">
        <v>6</v>
      </c>
      <c r="C16" s="551" t="s">
        <v>226</v>
      </c>
      <c r="D16" s="824"/>
      <c r="E16" s="825"/>
      <c r="F16" s="711"/>
      <c r="G16" s="712"/>
      <c r="H16" s="713"/>
      <c r="I16" s="305"/>
      <c r="J16" s="306"/>
      <c r="K16" s="307"/>
      <c r="L16" s="294" t="str">
        <f t="shared" si="0"/>
        <v/>
      </c>
      <c r="M16" s="301" t="str">
        <f t="shared" si="1"/>
        <v/>
      </c>
      <c r="N16" s="290" t="str">
        <f t="shared" si="2"/>
        <v/>
      </c>
      <c r="O16" s="68"/>
      <c r="P16" s="3"/>
      <c r="R16" s="739"/>
      <c r="T16" s="785" t="str">
        <f>IF(D16="","",VLOOKUP(D16,'9. All Habitats + Multipliers'!$C$4:$K$102,5,FALSE))</f>
        <v/>
      </c>
      <c r="U16" s="786"/>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30">
      <c r="B17" s="264">
        <v>7</v>
      </c>
      <c r="C17" s="551" t="s">
        <v>226</v>
      </c>
      <c r="D17" s="824"/>
      <c r="E17" s="825"/>
      <c r="F17" s="711"/>
      <c r="G17" s="712"/>
      <c r="H17" s="713"/>
      <c r="I17" s="305"/>
      <c r="J17" s="306"/>
      <c r="K17" s="307"/>
      <c r="L17" s="294" t="str">
        <f t="shared" si="0"/>
        <v/>
      </c>
      <c r="M17" s="301" t="str">
        <f t="shared" si="1"/>
        <v/>
      </c>
      <c r="N17" s="290" t="str">
        <f t="shared" si="2"/>
        <v/>
      </c>
      <c r="O17" s="68"/>
      <c r="P17" s="3"/>
      <c r="R17" s="739"/>
      <c r="T17" s="785" t="str">
        <f>IF(D17="","",VLOOKUP(D17,'9. All Habitats + Multipliers'!$C$4:$K$102,5,FALSE))</f>
        <v/>
      </c>
      <c r="U17" s="786"/>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30">
      <c r="B18" s="264">
        <v>8</v>
      </c>
      <c r="C18" s="551" t="s">
        <v>226</v>
      </c>
      <c r="D18" s="824"/>
      <c r="E18" s="825"/>
      <c r="F18" s="711"/>
      <c r="G18" s="712"/>
      <c r="H18" s="713"/>
      <c r="I18" s="305"/>
      <c r="J18" s="306"/>
      <c r="K18" s="307"/>
      <c r="L18" s="294" t="str">
        <f t="shared" si="0"/>
        <v/>
      </c>
      <c r="M18" s="301" t="str">
        <f t="shared" si="1"/>
        <v/>
      </c>
      <c r="N18" s="290" t="str">
        <f t="shared" si="2"/>
        <v/>
      </c>
      <c r="O18" s="68"/>
      <c r="P18" s="3"/>
      <c r="R18" s="739"/>
      <c r="T18" s="785" t="str">
        <f>IF(D18="","",VLOOKUP(D18,'9. All Habitats + Multipliers'!$C$4:$K$102,5,FALSE))</f>
        <v/>
      </c>
      <c r="U18" s="786"/>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30">
      <c r="B19" s="264">
        <v>9</v>
      </c>
      <c r="C19" s="551" t="s">
        <v>226</v>
      </c>
      <c r="D19" s="824"/>
      <c r="E19" s="825"/>
      <c r="F19" s="711"/>
      <c r="G19" s="712"/>
      <c r="H19" s="713"/>
      <c r="I19" s="305"/>
      <c r="J19" s="306"/>
      <c r="K19" s="307"/>
      <c r="L19" s="294" t="str">
        <f t="shared" si="0"/>
        <v/>
      </c>
      <c r="M19" s="301" t="str">
        <f t="shared" si="1"/>
        <v/>
      </c>
      <c r="N19" s="290" t="str">
        <f t="shared" si="2"/>
        <v/>
      </c>
      <c r="O19" s="68"/>
      <c r="P19" s="3"/>
      <c r="R19" s="739"/>
      <c r="T19" s="785" t="str">
        <f>IF(D19="","",VLOOKUP(D19,'9. All Habitats + Multipliers'!$C$4:$K$102,5,FALSE))</f>
        <v/>
      </c>
      <c r="U19" s="786"/>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30">
      <c r="B20" s="264">
        <v>10</v>
      </c>
      <c r="C20" s="552" t="s">
        <v>226</v>
      </c>
      <c r="D20" s="824"/>
      <c r="E20" s="825"/>
      <c r="F20" s="711"/>
      <c r="G20" s="712"/>
      <c r="H20" s="713"/>
      <c r="I20" s="305"/>
      <c r="J20" s="306"/>
      <c r="K20" s="307"/>
      <c r="L20" s="294" t="str">
        <f t="shared" si="0"/>
        <v/>
      </c>
      <c r="M20" s="301" t="str">
        <f t="shared" si="1"/>
        <v/>
      </c>
      <c r="N20" s="290" t="str">
        <f t="shared" si="2"/>
        <v/>
      </c>
      <c r="O20" s="69"/>
      <c r="P20" s="8"/>
      <c r="R20" s="739"/>
      <c r="T20" s="785" t="str">
        <f>IF(D20="","",VLOOKUP(D20,'9. All Habitats + Multipliers'!$C$4:$K$102,5,FALSE))</f>
        <v/>
      </c>
      <c r="U20" s="786"/>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30">
      <c r="B21" s="264">
        <v>11</v>
      </c>
      <c r="C21" s="551" t="s">
        <v>226</v>
      </c>
      <c r="D21" s="824"/>
      <c r="E21" s="825"/>
      <c r="F21" s="711"/>
      <c r="G21" s="712"/>
      <c r="H21" s="713"/>
      <c r="I21" s="305"/>
      <c r="J21" s="306"/>
      <c r="K21" s="307"/>
      <c r="L21" s="294" t="str">
        <f t="shared" si="0"/>
        <v/>
      </c>
      <c r="M21" s="301" t="str">
        <f t="shared" si="1"/>
        <v/>
      </c>
      <c r="N21" s="290" t="str">
        <f t="shared" si="2"/>
        <v/>
      </c>
      <c r="O21" s="69"/>
      <c r="P21" s="8"/>
      <c r="R21" s="739"/>
      <c r="T21" s="785" t="str">
        <f>IF(D21="","",VLOOKUP(D21,'9. All Habitats + Multipliers'!$C$4:$K$102,5,FALSE))</f>
        <v/>
      </c>
      <c r="U21" s="786"/>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30">
      <c r="B22" s="264">
        <v>12</v>
      </c>
      <c r="C22" s="551" t="s">
        <v>226</v>
      </c>
      <c r="D22" s="824"/>
      <c r="E22" s="825"/>
      <c r="F22" s="711"/>
      <c r="G22" s="712"/>
      <c r="H22" s="713"/>
      <c r="I22" s="305"/>
      <c r="J22" s="306"/>
      <c r="K22" s="307"/>
      <c r="L22" s="294" t="str">
        <f t="shared" si="0"/>
        <v/>
      </c>
      <c r="M22" s="301" t="str">
        <f t="shared" si="1"/>
        <v/>
      </c>
      <c r="N22" s="290" t="str">
        <f t="shared" si="2"/>
        <v/>
      </c>
      <c r="O22" s="69"/>
      <c r="P22" s="8"/>
      <c r="R22" s="739"/>
      <c r="T22" s="785" t="str">
        <f>IF(D22="","",VLOOKUP(D22,'9. All Habitats + Multipliers'!$C$4:$K$102,5,FALSE))</f>
        <v/>
      </c>
      <c r="U22" s="786"/>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30">
      <c r="B23" s="264">
        <v>13</v>
      </c>
      <c r="C23" s="551" t="s">
        <v>226</v>
      </c>
      <c r="D23" s="824"/>
      <c r="E23" s="825"/>
      <c r="F23" s="711"/>
      <c r="G23" s="712"/>
      <c r="H23" s="713"/>
      <c r="I23" s="305"/>
      <c r="J23" s="306"/>
      <c r="K23" s="307"/>
      <c r="L23" s="294" t="str">
        <f t="shared" si="0"/>
        <v/>
      </c>
      <c r="M23" s="301" t="str">
        <f t="shared" si="1"/>
        <v/>
      </c>
      <c r="N23" s="290" t="str">
        <f t="shared" si="2"/>
        <v/>
      </c>
      <c r="O23" s="69"/>
      <c r="P23" s="8"/>
      <c r="R23" s="739"/>
      <c r="T23" s="785" t="str">
        <f>IF(D23="","",VLOOKUP(D23,'9. All Habitats + Multipliers'!$C$4:$K$102,5,FALSE))</f>
        <v/>
      </c>
      <c r="U23" s="786"/>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30">
      <c r="B24" s="264">
        <v>14</v>
      </c>
      <c r="C24" s="551" t="s">
        <v>226</v>
      </c>
      <c r="D24" s="824"/>
      <c r="E24" s="825"/>
      <c r="F24" s="711"/>
      <c r="G24" s="712"/>
      <c r="H24" s="713"/>
      <c r="I24" s="305"/>
      <c r="J24" s="306"/>
      <c r="K24" s="307"/>
      <c r="L24" s="294" t="str">
        <f t="shared" si="0"/>
        <v/>
      </c>
      <c r="M24" s="301" t="str">
        <f t="shared" si="1"/>
        <v/>
      </c>
      <c r="N24" s="290" t="str">
        <f t="shared" si="2"/>
        <v/>
      </c>
      <c r="O24" s="69"/>
      <c r="P24" s="8"/>
      <c r="R24" s="739"/>
      <c r="T24" s="785" t="str">
        <f>IF(D24="","",VLOOKUP(D24,'9. All Habitats + Multipliers'!$C$4:$K$102,5,FALSE))</f>
        <v/>
      </c>
      <c r="U24" s="786"/>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30">
      <c r="B25" s="264">
        <v>15</v>
      </c>
      <c r="C25" s="551" t="s">
        <v>226</v>
      </c>
      <c r="D25" s="824"/>
      <c r="E25" s="825"/>
      <c r="F25" s="711"/>
      <c r="G25" s="712"/>
      <c r="H25" s="713"/>
      <c r="I25" s="305"/>
      <c r="J25" s="306"/>
      <c r="K25" s="307"/>
      <c r="L25" s="294" t="str">
        <f t="shared" si="0"/>
        <v/>
      </c>
      <c r="M25" s="301" t="str">
        <f t="shared" si="1"/>
        <v/>
      </c>
      <c r="N25" s="290" t="str">
        <f t="shared" si="2"/>
        <v/>
      </c>
      <c r="O25" s="69"/>
      <c r="P25" s="8"/>
      <c r="R25" s="739"/>
      <c r="T25" s="785" t="str">
        <f>IF(D25="","",VLOOKUP(D25,'9. All Habitats + Multipliers'!$C$4:$K$102,5,FALSE))</f>
        <v/>
      </c>
      <c r="U25" s="786"/>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30">
      <c r="B26" s="264">
        <v>16</v>
      </c>
      <c r="C26" s="551" t="s">
        <v>226</v>
      </c>
      <c r="D26" s="824"/>
      <c r="E26" s="825"/>
      <c r="F26" s="711"/>
      <c r="G26" s="712"/>
      <c r="H26" s="713"/>
      <c r="I26" s="305"/>
      <c r="J26" s="306"/>
      <c r="K26" s="307"/>
      <c r="L26" s="294" t="str">
        <f t="shared" si="0"/>
        <v/>
      </c>
      <c r="M26" s="301" t="str">
        <f t="shared" si="1"/>
        <v/>
      </c>
      <c r="N26" s="290" t="str">
        <f t="shared" si="2"/>
        <v/>
      </c>
      <c r="O26" s="69"/>
      <c r="P26" s="8"/>
      <c r="R26" s="739"/>
      <c r="T26" s="785" t="str">
        <f>IF(D26="","",VLOOKUP(D26,'9. All Habitats + Multipliers'!$C$4:$K$102,5,FALSE))</f>
        <v/>
      </c>
      <c r="U26" s="786"/>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30">
      <c r="B27" s="264">
        <v>17</v>
      </c>
      <c r="C27" s="551" t="s">
        <v>226</v>
      </c>
      <c r="D27" s="824"/>
      <c r="E27" s="825"/>
      <c r="F27" s="711"/>
      <c r="G27" s="712"/>
      <c r="H27" s="713"/>
      <c r="I27" s="305"/>
      <c r="J27" s="306"/>
      <c r="K27" s="307"/>
      <c r="L27" s="294" t="str">
        <f t="shared" si="0"/>
        <v/>
      </c>
      <c r="M27" s="301" t="str">
        <f t="shared" si="1"/>
        <v/>
      </c>
      <c r="N27" s="290" t="str">
        <f t="shared" si="2"/>
        <v/>
      </c>
      <c r="O27" s="69"/>
      <c r="P27" s="8"/>
      <c r="R27" s="739"/>
      <c r="T27" s="785" t="str">
        <f>IF(D27="","",VLOOKUP(D27,'9. All Habitats + Multipliers'!$C$4:$K$102,5,FALSE))</f>
        <v/>
      </c>
      <c r="U27" s="786"/>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30">
      <c r="B28" s="264">
        <v>18</v>
      </c>
      <c r="C28" s="551" t="s">
        <v>226</v>
      </c>
      <c r="D28" s="824"/>
      <c r="E28" s="825"/>
      <c r="F28" s="711"/>
      <c r="G28" s="712"/>
      <c r="H28" s="713"/>
      <c r="I28" s="305"/>
      <c r="J28" s="306"/>
      <c r="K28" s="307"/>
      <c r="L28" s="294" t="str">
        <f t="shared" si="0"/>
        <v/>
      </c>
      <c r="M28" s="301" t="str">
        <f t="shared" si="1"/>
        <v/>
      </c>
      <c r="N28" s="290" t="str">
        <f t="shared" si="2"/>
        <v/>
      </c>
      <c r="O28" s="69"/>
      <c r="P28" s="8"/>
      <c r="R28" s="739"/>
      <c r="T28" s="785" t="str">
        <f>IF(D28="","",VLOOKUP(D28,'9. All Habitats + Multipliers'!$C$4:$K$102,5,FALSE))</f>
        <v/>
      </c>
      <c r="U28" s="786"/>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30">
      <c r="B29" s="264">
        <v>19</v>
      </c>
      <c r="C29" s="553" t="s">
        <v>226</v>
      </c>
      <c r="D29" s="824"/>
      <c r="E29" s="825"/>
      <c r="F29" s="711"/>
      <c r="G29" s="712"/>
      <c r="H29" s="713"/>
      <c r="I29" s="305"/>
      <c r="J29" s="306"/>
      <c r="K29" s="307"/>
      <c r="L29" s="294" t="str">
        <f t="shared" si="0"/>
        <v/>
      </c>
      <c r="M29" s="301" t="str">
        <f t="shared" si="1"/>
        <v/>
      </c>
      <c r="N29" s="290" t="str">
        <f t="shared" si="2"/>
        <v/>
      </c>
      <c r="O29" s="69"/>
      <c r="P29" s="8"/>
      <c r="R29" s="739"/>
      <c r="T29" s="785" t="str">
        <f>IF(D29="","",VLOOKUP(D29,'9. All Habitats + Multipliers'!$C$4:$K$102,5,FALSE))</f>
        <v/>
      </c>
      <c r="U29" s="786"/>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30.75" thickBot="1">
      <c r="B30" s="265">
        <v>20</v>
      </c>
      <c r="C30" s="554" t="s">
        <v>226</v>
      </c>
      <c r="D30" s="852"/>
      <c r="E30" s="853"/>
      <c r="F30" s="885"/>
      <c r="G30" s="886"/>
      <c r="H30" s="887"/>
      <c r="I30" s="308"/>
      <c r="J30" s="309"/>
      <c r="K30" s="310"/>
      <c r="L30" s="292" t="str">
        <f t="shared" si="0"/>
        <v/>
      </c>
      <c r="M30" s="315" t="str">
        <f t="shared" si="1"/>
        <v/>
      </c>
      <c r="N30" s="293" t="str">
        <f t="shared" si="2"/>
        <v/>
      </c>
      <c r="O30" s="70"/>
      <c r="P30" s="4"/>
      <c r="R30" s="739"/>
      <c r="T30" s="785" t="str">
        <f>IF(D30="","",VLOOKUP(D30,'9. All Habitats + Multipliers'!$C$4:$K$102,5,FALSE))</f>
        <v/>
      </c>
      <c r="U30" s="786"/>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227</v>
      </c>
      <c r="I31" s="311">
        <f t="shared" ref="I31:N31" si="7">SUM(I11:I30)</f>
        <v>195</v>
      </c>
      <c r="J31" s="312">
        <f t="shared" si="7"/>
        <v>195</v>
      </c>
      <c r="K31" s="313">
        <f t="shared" si="7"/>
        <v>0</v>
      </c>
      <c r="L31" s="279">
        <f t="shared" si="7"/>
        <v>0.78</v>
      </c>
      <c r="M31" s="319">
        <f t="shared" si="7"/>
        <v>0</v>
      </c>
      <c r="N31" s="280">
        <f t="shared" si="7"/>
        <v>0</v>
      </c>
      <c r="R31" s="739"/>
    </row>
    <row r="32" spans="2:35" s="25" customFormat="1">
      <c r="D32" s="89"/>
      <c r="E32" s="103"/>
      <c r="F32" s="103"/>
      <c r="G32" s="103"/>
      <c r="H32" s="289" t="s">
        <v>97</v>
      </c>
      <c r="I32" s="896" t="str">
        <f>IF(I31&lt;J31+K31,"Error - Lengths Retained and Enhanced Exceed Total Length ▲","Lengths Acceptable ✓")</f>
        <v>Lengths Acceptable ✓</v>
      </c>
      <c r="J32" s="896"/>
      <c r="K32" s="896"/>
      <c r="L32" s="896"/>
      <c r="M32" s="896"/>
      <c r="N32" s="897"/>
      <c r="O32" s="157">
        <f>IFERROR(FIND("Error",I32),0)</f>
        <v>0</v>
      </c>
      <c r="R32" s="104"/>
    </row>
    <row r="33" spans="2:34" s="25" customFormat="1" ht="15.75" thickBot="1">
      <c r="D33" s="89"/>
      <c r="E33" s="103"/>
      <c r="F33" s="103"/>
      <c r="G33" s="103"/>
      <c r="H33" s="272" t="s">
        <v>98</v>
      </c>
      <c r="I33" s="864" t="str">
        <f>IF(I31&lt;5000,"Lengths Acceptable ✓",IF(I31&gt;=5000,"Length Exceeds Length Appropriate for Small Sites Metric ▲"))</f>
        <v>Lengths Acceptable ✓</v>
      </c>
      <c r="J33" s="864"/>
      <c r="K33" s="864"/>
      <c r="L33" s="864"/>
      <c r="M33" s="864"/>
      <c r="N33" s="865"/>
      <c r="O33" s="157">
        <f>COUNTIF(L11:N30,"*"&amp;"error"&amp;"*")</f>
        <v>0</v>
      </c>
      <c r="R33" s="104"/>
    </row>
    <row r="34" spans="2:34" s="25" customFormat="1">
      <c r="D34" s="89"/>
      <c r="E34" s="103"/>
      <c r="F34" s="103"/>
      <c r="G34" s="103"/>
      <c r="H34" s="103"/>
      <c r="I34" s="103"/>
      <c r="J34" s="103"/>
      <c r="K34" s="103"/>
      <c r="L34" s="103"/>
      <c r="M34" s="103"/>
      <c r="N34" s="103"/>
      <c r="O34" s="103"/>
      <c r="R34" s="739" t="s">
        <v>55</v>
      </c>
    </row>
    <row r="35" spans="2:34" s="25" customFormat="1" ht="21">
      <c r="B35" s="57" t="s">
        <v>100</v>
      </c>
      <c r="D35" s="88"/>
      <c r="E35" s="103"/>
      <c r="F35" s="103"/>
      <c r="G35" s="103"/>
      <c r="I35" s="26"/>
      <c r="R35" s="739"/>
    </row>
    <row r="36" spans="2:34" s="25" customFormat="1" ht="15.75" customHeight="1" thickBot="1">
      <c r="R36" s="739"/>
    </row>
    <row r="37" spans="2:34" s="25" customFormat="1" ht="16.350000000000001" customHeight="1">
      <c r="B37" s="717" t="s">
        <v>49</v>
      </c>
      <c r="C37" s="716"/>
      <c r="D37" s="766"/>
      <c r="E37" s="706" t="s">
        <v>101</v>
      </c>
      <c r="F37" s="707"/>
      <c r="G37" s="708"/>
      <c r="H37" s="707" t="s">
        <v>102</v>
      </c>
      <c r="I37" s="652" t="s">
        <v>228</v>
      </c>
      <c r="J37" s="780"/>
      <c r="K37" s="653"/>
      <c r="L37" s="706" t="s">
        <v>229</v>
      </c>
      <c r="M37" s="716"/>
      <c r="N37" s="708"/>
      <c r="O37" s="765" t="s">
        <v>68</v>
      </c>
      <c r="P37" s="708"/>
      <c r="R37" s="739"/>
      <c r="T37" s="682" t="s">
        <v>69</v>
      </c>
      <c r="U37" s="683"/>
      <c r="V37" s="874"/>
      <c r="W37" s="682" t="s">
        <v>70</v>
      </c>
      <c r="X37" s="684"/>
      <c r="Y37" s="798"/>
      <c r="Z37" s="798"/>
      <c r="AA37" s="798"/>
      <c r="AB37" s="797" t="s">
        <v>71</v>
      </c>
      <c r="AC37" s="683"/>
      <c r="AD37" s="684"/>
      <c r="AE37" s="682" t="s">
        <v>105</v>
      </c>
      <c r="AF37" s="684"/>
      <c r="AG37" s="682" t="s">
        <v>106</v>
      </c>
      <c r="AH37" s="684"/>
    </row>
    <row r="38" spans="2:34" s="25" customFormat="1" ht="32.25" thickBot="1">
      <c r="B38" s="665"/>
      <c r="C38" s="197" t="s">
        <v>75</v>
      </c>
      <c r="D38" s="198" t="s">
        <v>107</v>
      </c>
      <c r="E38" s="86" t="s">
        <v>108</v>
      </c>
      <c r="F38" s="668" t="s">
        <v>109</v>
      </c>
      <c r="G38" s="677"/>
      <c r="H38" s="666"/>
      <c r="I38" s="654"/>
      <c r="J38" s="781"/>
      <c r="K38" s="655"/>
      <c r="L38" s="893"/>
      <c r="M38" s="894"/>
      <c r="N38" s="895"/>
      <c r="O38" s="196" t="s">
        <v>83</v>
      </c>
      <c r="P38" s="90" t="s">
        <v>84</v>
      </c>
      <c r="R38" s="739"/>
      <c r="T38" s="783" t="s">
        <v>85</v>
      </c>
      <c r="U38" s="784"/>
      <c r="V38" s="341" t="s">
        <v>86</v>
      </c>
      <c r="W38" s="91" t="s">
        <v>87</v>
      </c>
      <c r="X38" s="92" t="s">
        <v>86</v>
      </c>
      <c r="Y38" s="346"/>
      <c r="Z38" s="346"/>
      <c r="AA38" s="346"/>
      <c r="AB38" s="334" t="s">
        <v>71</v>
      </c>
      <c r="AC38" s="49" t="s">
        <v>71</v>
      </c>
      <c r="AD38" s="92" t="s">
        <v>88</v>
      </c>
      <c r="AE38" s="91" t="s">
        <v>110</v>
      </c>
      <c r="AF38" s="92" t="s">
        <v>111</v>
      </c>
      <c r="AG38" s="91" t="s">
        <v>112</v>
      </c>
      <c r="AH38" s="92" t="s">
        <v>113</v>
      </c>
    </row>
    <row r="39" spans="2:34" s="25" customFormat="1" ht="30">
      <c r="B39" s="263">
        <v>1</v>
      </c>
      <c r="C39" s="551" t="s">
        <v>226</v>
      </c>
      <c r="D39" s="73" t="s">
        <v>239</v>
      </c>
      <c r="E39" s="105" t="str">
        <f>IF(D39="","",VLOOKUP(D39,'10. Condition and Temporal'!$B$6:$D$103,3,FALSE))</f>
        <v>Moderate, Good</v>
      </c>
      <c r="F39" s="898" t="s">
        <v>387</v>
      </c>
      <c r="G39" s="899"/>
      <c r="H39" s="72" t="s">
        <v>115</v>
      </c>
      <c r="I39" s="722">
        <v>20</v>
      </c>
      <c r="J39" s="723"/>
      <c r="K39" s="723"/>
      <c r="L39" s="900">
        <f>IF(D39="","",IFERROR(IF(I39="","",((I39/1000)*(V39*X39))*(AH39*AF39)*AD39),"This intervention is not permitted within the SSM ▲"))</f>
        <v>7.8254443283999997E-2</v>
      </c>
      <c r="M39" s="901"/>
      <c r="N39" s="902"/>
      <c r="O39" s="210"/>
      <c r="P39" s="1"/>
      <c r="Q39" s="106"/>
      <c r="R39" s="739"/>
      <c r="T39" s="785" t="str">
        <f>IF(D39="","",VLOOKUP(D39,'9. All Habitats + Multipliers'!$C$4:$K$102,5,FALSE))</f>
        <v>Low</v>
      </c>
      <c r="U39" s="786"/>
      <c r="V39" s="344">
        <f>IF(T39="","",VLOOKUP(T39,'11. Lists'!$S$47:$U$50,2,FALSE))</f>
        <v>2</v>
      </c>
      <c r="W39" s="93" t="str">
        <f>IF(F39="","",F39)</f>
        <v>Good</v>
      </c>
      <c r="X39" s="94">
        <f>IF(W39="","",VLOOKUP(W39,'11. Lists'!$F$47:$G$51,2,FALSE))</f>
        <v>3</v>
      </c>
      <c r="Y39" s="48"/>
      <c r="Z39" s="48"/>
      <c r="AA39" s="48"/>
      <c r="AB39" s="184" t="str">
        <f>IF(H39="","",H39)</f>
        <v>Area/compensation not in local strategy/ no local strategy</v>
      </c>
      <c r="AC39" s="95" t="str">
        <f>IF(AB39="","",VLOOKUP(AB39,'11. Lists'!$F$36:$H$38,2,FALSE))</f>
        <v>Low Strategic Significance</v>
      </c>
      <c r="AD39" s="94">
        <f>IF(AB39="","",VLOOKUP(AB39,'11. Lists'!$F$36:$H$38,3,FALSE))</f>
        <v>1</v>
      </c>
      <c r="AE39" s="93">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12</v>
      </c>
      <c r="AF39" s="107">
        <f>IF(AE39="","",VLOOKUP(AE39,'11. Lists'!$I$47:$K$80,3,FALSE))</f>
        <v>0.65212036070000001</v>
      </c>
      <c r="AG39" s="93" t="str">
        <f>IF(D39="","",VLOOKUP(D39,'9. All Habitats + Multipliers'!$C$4:$K$102,7,FALSE))</f>
        <v>Low</v>
      </c>
      <c r="AH39" s="94">
        <f>IF(AG39="","",VLOOKUP(AG39,'11. Lists'!$J$35:$K$38,2,FALSE))</f>
        <v>1</v>
      </c>
    </row>
    <row r="40" spans="2:34" s="25" customFormat="1" ht="30">
      <c r="B40" s="264">
        <v>2</v>
      </c>
      <c r="C40" s="551" t="s">
        <v>226</v>
      </c>
      <c r="D40" s="73"/>
      <c r="E40" s="105" t="str">
        <f>IF(D40="","",VLOOKUP(D40,'10. Condition and Temporal'!$B$6:$D$103,3,FALSE))</f>
        <v/>
      </c>
      <c r="F40" s="888"/>
      <c r="G40" s="889"/>
      <c r="H40" s="71"/>
      <c r="I40" s="722"/>
      <c r="J40" s="723"/>
      <c r="K40" s="723"/>
      <c r="L40" s="890" t="str">
        <f t="shared" ref="L40:L58" si="8">IF(D40="","",IFERROR(IF(I40="","",((I40/1000)*(V40*X40))*(AH40*AF40)*AD40),"This intervention is not permitted within the SSM ▲"))</f>
        <v/>
      </c>
      <c r="M40" s="891"/>
      <c r="N40" s="892"/>
      <c r="O40" s="74"/>
      <c r="P40" s="12"/>
      <c r="Q40" s="106"/>
      <c r="R40" s="739"/>
      <c r="T40" s="785" t="str">
        <f>IF(D40="","",VLOOKUP(D40,'9. All Habitats + Multipliers'!$C$4:$K$102,5,FALSE))</f>
        <v/>
      </c>
      <c r="U40" s="786"/>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30">
      <c r="B41" s="264">
        <v>3</v>
      </c>
      <c r="C41" s="551" t="s">
        <v>226</v>
      </c>
      <c r="D41" s="73"/>
      <c r="E41" s="105" t="str">
        <f>IF(D41="","",VLOOKUP(D41,'10. Condition and Temporal'!$B$6:$D$103,3,FALSE))</f>
        <v/>
      </c>
      <c r="F41" s="888"/>
      <c r="G41" s="889"/>
      <c r="H41" s="71"/>
      <c r="I41" s="722"/>
      <c r="J41" s="723"/>
      <c r="K41" s="723"/>
      <c r="L41" s="890" t="str">
        <f t="shared" si="8"/>
        <v/>
      </c>
      <c r="M41" s="891"/>
      <c r="N41" s="892"/>
      <c r="O41" s="74"/>
      <c r="P41" s="12"/>
      <c r="Q41" s="106"/>
      <c r="R41" s="739"/>
      <c r="T41" s="785" t="str">
        <f>IF(D41="","",VLOOKUP(D41,'9. All Habitats + Multipliers'!$C$4:$K$102,5,FALSE))</f>
        <v/>
      </c>
      <c r="U41" s="786"/>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30">
      <c r="B42" s="264">
        <v>4</v>
      </c>
      <c r="C42" s="551" t="s">
        <v>226</v>
      </c>
      <c r="D42" s="73"/>
      <c r="E42" s="105" t="str">
        <f>IF(D42="","",VLOOKUP(D42,'10. Condition and Temporal'!$B$6:$D$103,3,FALSE))</f>
        <v/>
      </c>
      <c r="F42" s="888"/>
      <c r="G42" s="889"/>
      <c r="H42" s="71"/>
      <c r="I42" s="722"/>
      <c r="J42" s="723"/>
      <c r="K42" s="723"/>
      <c r="L42" s="890" t="str">
        <f t="shared" si="8"/>
        <v/>
      </c>
      <c r="M42" s="891"/>
      <c r="N42" s="892"/>
      <c r="O42" s="74"/>
      <c r="P42" s="12"/>
      <c r="Q42" s="106"/>
      <c r="R42" s="739"/>
      <c r="T42" s="785" t="str">
        <f>IF(D42="","",VLOOKUP(D42,'9. All Habitats + Multipliers'!$C$4:$K$102,5,FALSE))</f>
        <v/>
      </c>
      <c r="U42" s="786"/>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30">
      <c r="B43" s="264">
        <v>5</v>
      </c>
      <c r="C43" s="551" t="s">
        <v>226</v>
      </c>
      <c r="D43" s="73"/>
      <c r="E43" s="105" t="str">
        <f>IF(D43="","",VLOOKUP(D43,'10. Condition and Temporal'!$B$6:$D$103,3,FALSE))</f>
        <v/>
      </c>
      <c r="F43" s="888"/>
      <c r="G43" s="889"/>
      <c r="H43" s="71"/>
      <c r="I43" s="722"/>
      <c r="J43" s="723"/>
      <c r="K43" s="723"/>
      <c r="L43" s="890" t="str">
        <f t="shared" si="8"/>
        <v/>
      </c>
      <c r="M43" s="891"/>
      <c r="N43" s="892"/>
      <c r="O43" s="74"/>
      <c r="P43" s="12"/>
      <c r="R43" s="739"/>
      <c r="T43" s="785" t="str">
        <f>IF(D43="","",VLOOKUP(D43,'9. All Habitats + Multipliers'!$C$4:$K$102,5,FALSE))</f>
        <v/>
      </c>
      <c r="U43" s="786"/>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30">
      <c r="B44" s="264">
        <v>6</v>
      </c>
      <c r="C44" s="551" t="s">
        <v>226</v>
      </c>
      <c r="D44" s="73"/>
      <c r="E44" s="105" t="str">
        <f>IF(D44="","",VLOOKUP(D44,'10. Condition and Temporal'!$B$6:$D$103,3,FALSE))</f>
        <v/>
      </c>
      <c r="F44" s="888"/>
      <c r="G44" s="889"/>
      <c r="H44" s="71"/>
      <c r="I44" s="722"/>
      <c r="J44" s="723"/>
      <c r="K44" s="723"/>
      <c r="L44" s="890" t="str">
        <f t="shared" si="8"/>
        <v/>
      </c>
      <c r="M44" s="891"/>
      <c r="N44" s="892"/>
      <c r="O44" s="74"/>
      <c r="P44" s="12"/>
      <c r="R44" s="739"/>
      <c r="T44" s="785" t="str">
        <f>IF(D44="","",VLOOKUP(D44,'9. All Habitats + Multipliers'!$C$4:$K$102,5,FALSE))</f>
        <v/>
      </c>
      <c r="U44" s="786"/>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30">
      <c r="B45" s="264">
        <v>7</v>
      </c>
      <c r="C45" s="551" t="s">
        <v>226</v>
      </c>
      <c r="D45" s="73"/>
      <c r="E45" s="105" t="str">
        <f>IF(D45="","",VLOOKUP(D45,'10. Condition and Temporal'!$B$6:$D$103,3,FALSE))</f>
        <v/>
      </c>
      <c r="F45" s="888"/>
      <c r="G45" s="889"/>
      <c r="H45" s="71"/>
      <c r="I45" s="722"/>
      <c r="J45" s="723"/>
      <c r="K45" s="723"/>
      <c r="L45" s="890" t="str">
        <f t="shared" si="8"/>
        <v/>
      </c>
      <c r="M45" s="891"/>
      <c r="N45" s="892"/>
      <c r="O45" s="74"/>
      <c r="P45" s="12"/>
      <c r="R45" s="739"/>
      <c r="T45" s="785" t="str">
        <f>IF(D45="","",VLOOKUP(D45,'9. All Habitats + Multipliers'!$C$4:$K$102,5,FALSE))</f>
        <v/>
      </c>
      <c r="U45" s="786"/>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30">
      <c r="B46" s="264">
        <v>8</v>
      </c>
      <c r="C46" s="551" t="s">
        <v>226</v>
      </c>
      <c r="D46" s="73"/>
      <c r="E46" s="105" t="str">
        <f>IF(D46="","",VLOOKUP(D46,'10. Condition and Temporal'!$B$6:$D$103,3,FALSE))</f>
        <v/>
      </c>
      <c r="F46" s="888"/>
      <c r="G46" s="889"/>
      <c r="H46" s="71"/>
      <c r="I46" s="722"/>
      <c r="J46" s="723"/>
      <c r="K46" s="723"/>
      <c r="L46" s="890" t="str">
        <f t="shared" si="8"/>
        <v/>
      </c>
      <c r="M46" s="891"/>
      <c r="N46" s="892"/>
      <c r="O46" s="74"/>
      <c r="P46" s="12"/>
      <c r="R46" s="739"/>
      <c r="T46" s="785" t="str">
        <f>IF(D46="","",VLOOKUP(D46,'9. All Habitats + Multipliers'!$C$4:$K$102,5,FALSE))</f>
        <v/>
      </c>
      <c r="U46" s="786"/>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30">
      <c r="B47" s="264">
        <v>9</v>
      </c>
      <c r="C47" s="551" t="s">
        <v>226</v>
      </c>
      <c r="D47" s="73"/>
      <c r="E47" s="105" t="str">
        <f>IF(D47="","",VLOOKUP(D47,'10. Condition and Temporal'!$B$6:$D$103,3,FALSE))</f>
        <v/>
      </c>
      <c r="F47" s="888"/>
      <c r="G47" s="889"/>
      <c r="H47" s="71"/>
      <c r="I47" s="722"/>
      <c r="J47" s="723"/>
      <c r="K47" s="723"/>
      <c r="L47" s="890" t="str">
        <f t="shared" si="8"/>
        <v/>
      </c>
      <c r="M47" s="891"/>
      <c r="N47" s="892"/>
      <c r="O47" s="74"/>
      <c r="P47" s="12"/>
      <c r="R47" s="739"/>
      <c r="T47" s="785" t="str">
        <f>IF(D47="","",VLOOKUP(D47,'9. All Habitats + Multipliers'!$C$4:$K$102,5,FALSE))</f>
        <v/>
      </c>
      <c r="U47" s="786"/>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30">
      <c r="B48" s="264">
        <v>10</v>
      </c>
      <c r="C48" s="552" t="s">
        <v>226</v>
      </c>
      <c r="D48" s="73"/>
      <c r="E48" s="105" t="str">
        <f>IF(D48="","",VLOOKUP(D48,'10. Condition and Temporal'!$B$6:$D$103,3,FALSE))</f>
        <v/>
      </c>
      <c r="F48" s="888"/>
      <c r="G48" s="889"/>
      <c r="H48" s="71"/>
      <c r="I48" s="722"/>
      <c r="J48" s="723"/>
      <c r="K48" s="723"/>
      <c r="L48" s="890" t="str">
        <f t="shared" si="8"/>
        <v/>
      </c>
      <c r="M48" s="891"/>
      <c r="N48" s="892"/>
      <c r="O48" s="74"/>
      <c r="P48" s="12"/>
      <c r="R48" s="739"/>
      <c r="T48" s="785" t="str">
        <f>IF(D48="","",VLOOKUP(D48,'9. All Habitats + Multipliers'!$C$4:$K$102,5,FALSE))</f>
        <v/>
      </c>
      <c r="U48" s="786"/>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30">
      <c r="B49" s="264">
        <v>11</v>
      </c>
      <c r="C49" s="551" t="s">
        <v>226</v>
      </c>
      <c r="D49" s="73"/>
      <c r="E49" s="105" t="str">
        <f>IF(D49="","",VLOOKUP(D49,'10. Condition and Temporal'!$B$6:$D$103,3,FALSE))</f>
        <v/>
      </c>
      <c r="F49" s="888"/>
      <c r="G49" s="889"/>
      <c r="H49" s="71"/>
      <c r="I49" s="722"/>
      <c r="J49" s="723"/>
      <c r="K49" s="723"/>
      <c r="L49" s="890" t="str">
        <f t="shared" si="8"/>
        <v/>
      </c>
      <c r="M49" s="891"/>
      <c r="N49" s="892"/>
      <c r="O49" s="74"/>
      <c r="P49" s="12"/>
      <c r="R49" s="739"/>
      <c r="T49" s="785" t="str">
        <f>IF(D49="","",VLOOKUP(D49,'9. All Habitats + Multipliers'!$C$4:$K$102,5,FALSE))</f>
        <v/>
      </c>
      <c r="U49" s="786"/>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30">
      <c r="B50" s="264">
        <v>12</v>
      </c>
      <c r="C50" s="551" t="s">
        <v>226</v>
      </c>
      <c r="D50" s="73"/>
      <c r="E50" s="105" t="str">
        <f>IF(D50="","",VLOOKUP(D50,'10. Condition and Temporal'!$B$6:$D$103,3,FALSE))</f>
        <v/>
      </c>
      <c r="F50" s="888"/>
      <c r="G50" s="889"/>
      <c r="H50" s="71"/>
      <c r="I50" s="722"/>
      <c r="J50" s="723"/>
      <c r="K50" s="723"/>
      <c r="L50" s="890" t="str">
        <f t="shared" si="8"/>
        <v/>
      </c>
      <c r="M50" s="891"/>
      <c r="N50" s="892"/>
      <c r="O50" s="74"/>
      <c r="P50" s="12"/>
      <c r="R50" s="739"/>
      <c r="T50" s="785" t="str">
        <f>IF(D50="","",VLOOKUP(D50,'9. All Habitats + Multipliers'!$C$4:$K$102,5,FALSE))</f>
        <v/>
      </c>
      <c r="U50" s="786"/>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30">
      <c r="B51" s="264">
        <v>13</v>
      </c>
      <c r="C51" s="551" t="s">
        <v>226</v>
      </c>
      <c r="D51" s="73"/>
      <c r="E51" s="105" t="str">
        <f>IF(D51="","",VLOOKUP(D51,'10. Condition and Temporal'!$B$6:$D$103,3,FALSE))</f>
        <v/>
      </c>
      <c r="F51" s="888"/>
      <c r="G51" s="889"/>
      <c r="H51" s="71"/>
      <c r="I51" s="722"/>
      <c r="J51" s="723"/>
      <c r="K51" s="723"/>
      <c r="L51" s="890" t="str">
        <f t="shared" si="8"/>
        <v/>
      </c>
      <c r="M51" s="891"/>
      <c r="N51" s="892"/>
      <c r="O51" s="74"/>
      <c r="P51" s="12"/>
      <c r="R51" s="739"/>
      <c r="T51" s="785" t="str">
        <f>IF(D51="","",VLOOKUP(D51,'9. All Habitats + Multipliers'!$C$4:$K$102,5,FALSE))</f>
        <v/>
      </c>
      <c r="U51" s="786"/>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30">
      <c r="B52" s="264">
        <v>14</v>
      </c>
      <c r="C52" s="551" t="s">
        <v>226</v>
      </c>
      <c r="D52" s="73"/>
      <c r="E52" s="105" t="str">
        <f>IF(D52="","",VLOOKUP(D52,'10. Condition and Temporal'!$B$6:$D$103,3,FALSE))</f>
        <v/>
      </c>
      <c r="F52" s="888"/>
      <c r="G52" s="889"/>
      <c r="H52" s="71"/>
      <c r="I52" s="722"/>
      <c r="J52" s="723"/>
      <c r="K52" s="723"/>
      <c r="L52" s="890" t="str">
        <f t="shared" si="8"/>
        <v/>
      </c>
      <c r="M52" s="891"/>
      <c r="N52" s="892"/>
      <c r="O52" s="74"/>
      <c r="P52" s="12"/>
      <c r="R52" s="739"/>
      <c r="T52" s="785" t="str">
        <f>IF(D52="","",VLOOKUP(D52,'9. All Habitats + Multipliers'!$C$4:$K$102,5,FALSE))</f>
        <v/>
      </c>
      <c r="U52" s="786"/>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30">
      <c r="B53" s="264">
        <v>15</v>
      </c>
      <c r="C53" s="551" t="s">
        <v>226</v>
      </c>
      <c r="D53" s="73"/>
      <c r="E53" s="105" t="str">
        <f>IF(D53="","",VLOOKUP(D53,'10. Condition and Temporal'!$B$6:$D$103,3,FALSE))</f>
        <v/>
      </c>
      <c r="F53" s="888"/>
      <c r="G53" s="889"/>
      <c r="H53" s="71"/>
      <c r="I53" s="722"/>
      <c r="J53" s="723"/>
      <c r="K53" s="723"/>
      <c r="L53" s="890" t="str">
        <f t="shared" si="8"/>
        <v/>
      </c>
      <c r="M53" s="891"/>
      <c r="N53" s="892"/>
      <c r="O53" s="74"/>
      <c r="P53" s="12"/>
      <c r="R53" s="739"/>
      <c r="T53" s="785" t="str">
        <f>IF(D53="","",VLOOKUP(D53,'9. All Habitats + Multipliers'!$C$4:$K$102,5,FALSE))</f>
        <v/>
      </c>
      <c r="U53" s="786"/>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30">
      <c r="B54" s="264">
        <v>16</v>
      </c>
      <c r="C54" s="551" t="s">
        <v>226</v>
      </c>
      <c r="D54" s="73"/>
      <c r="E54" s="105" t="str">
        <f>IF(D54="","",VLOOKUP(D54,'10. Condition and Temporal'!$B$6:$D$103,3,FALSE))</f>
        <v/>
      </c>
      <c r="F54" s="888"/>
      <c r="G54" s="889"/>
      <c r="H54" s="71"/>
      <c r="I54" s="722"/>
      <c r="J54" s="723"/>
      <c r="K54" s="723"/>
      <c r="L54" s="890" t="str">
        <f t="shared" si="8"/>
        <v/>
      </c>
      <c r="M54" s="891"/>
      <c r="N54" s="892"/>
      <c r="O54" s="74"/>
      <c r="P54" s="12"/>
      <c r="R54" s="739"/>
      <c r="T54" s="785" t="str">
        <f>IF(D54="","",VLOOKUP(D54,'9. All Habitats + Multipliers'!$C$4:$K$102,5,FALSE))</f>
        <v/>
      </c>
      <c r="U54" s="786"/>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30">
      <c r="B55" s="264">
        <v>17</v>
      </c>
      <c r="C55" s="551" t="s">
        <v>226</v>
      </c>
      <c r="D55" s="73"/>
      <c r="E55" s="105" t="str">
        <f>IF(D55="","",VLOOKUP(D55,'10. Condition and Temporal'!$B$6:$D$103,3,FALSE))</f>
        <v/>
      </c>
      <c r="F55" s="888"/>
      <c r="G55" s="889"/>
      <c r="H55" s="71"/>
      <c r="I55" s="722"/>
      <c r="J55" s="723"/>
      <c r="K55" s="723"/>
      <c r="L55" s="890" t="str">
        <f t="shared" si="8"/>
        <v/>
      </c>
      <c r="M55" s="891"/>
      <c r="N55" s="892"/>
      <c r="O55" s="74"/>
      <c r="P55" s="12"/>
      <c r="R55" s="739"/>
      <c r="T55" s="785" t="str">
        <f>IF(D55="","",VLOOKUP(D55,'9. All Habitats + Multipliers'!$C$4:$K$102,5,FALSE))</f>
        <v/>
      </c>
      <c r="U55" s="786"/>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30">
      <c r="B56" s="264">
        <v>18</v>
      </c>
      <c r="C56" s="551" t="s">
        <v>226</v>
      </c>
      <c r="D56" s="73"/>
      <c r="E56" s="105" t="str">
        <f>IF(D56="","",VLOOKUP(D56,'10. Condition and Temporal'!$B$6:$D$103,3,FALSE))</f>
        <v/>
      </c>
      <c r="F56" s="888"/>
      <c r="G56" s="889"/>
      <c r="H56" s="71"/>
      <c r="I56" s="722"/>
      <c r="J56" s="723"/>
      <c r="K56" s="723"/>
      <c r="L56" s="890" t="str">
        <f t="shared" si="8"/>
        <v/>
      </c>
      <c r="M56" s="891"/>
      <c r="N56" s="892"/>
      <c r="O56" s="74"/>
      <c r="P56" s="12"/>
      <c r="R56" s="739"/>
      <c r="T56" s="785" t="str">
        <f>IF(D56="","",VLOOKUP(D56,'9. All Habitats + Multipliers'!$C$4:$K$102,5,FALSE))</f>
        <v/>
      </c>
      <c r="U56" s="786"/>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30">
      <c r="B57" s="264">
        <v>19</v>
      </c>
      <c r="C57" s="553" t="s">
        <v>226</v>
      </c>
      <c r="D57" s="73"/>
      <c r="E57" s="105" t="str">
        <f>IF(D57="","",VLOOKUP(D57,'10. Condition and Temporal'!$B$6:$D$103,3,FALSE))</f>
        <v/>
      </c>
      <c r="F57" s="888"/>
      <c r="G57" s="889"/>
      <c r="H57" s="71"/>
      <c r="I57" s="722"/>
      <c r="J57" s="723"/>
      <c r="K57" s="723"/>
      <c r="L57" s="890" t="str">
        <f t="shared" si="8"/>
        <v/>
      </c>
      <c r="M57" s="891"/>
      <c r="N57" s="892"/>
      <c r="O57" s="74"/>
      <c r="P57" s="12"/>
      <c r="R57" s="739"/>
      <c r="T57" s="785" t="str">
        <f>IF(D57="","",VLOOKUP(D57,'9. All Habitats + Multipliers'!$C$4:$K$102,5,FALSE))</f>
        <v/>
      </c>
      <c r="U57" s="786"/>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30.75" thickBot="1">
      <c r="B58" s="265">
        <v>20</v>
      </c>
      <c r="C58" s="554" t="s">
        <v>226</v>
      </c>
      <c r="D58" s="135"/>
      <c r="E58" s="136" t="str">
        <f>IF(D58="","",VLOOKUP(D58,'10. Condition and Temporal'!$B$6:$D$103,3,FALSE))</f>
        <v/>
      </c>
      <c r="F58" s="903"/>
      <c r="G58" s="904"/>
      <c r="H58" s="79"/>
      <c r="I58" s="905"/>
      <c r="J58" s="906"/>
      <c r="K58" s="906"/>
      <c r="L58" s="907" t="str">
        <f t="shared" si="8"/>
        <v/>
      </c>
      <c r="M58" s="908"/>
      <c r="N58" s="909"/>
      <c r="O58" s="75"/>
      <c r="P58" s="14"/>
      <c r="R58" s="739"/>
      <c r="T58" s="785" t="str">
        <f>IF(D58="","",VLOOKUP(D58,'9. All Habitats + Multipliers'!$C$4:$K$102,5,FALSE))</f>
        <v/>
      </c>
      <c r="U58" s="786"/>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75" thickBot="1">
      <c r="H59" s="269" t="s">
        <v>227</v>
      </c>
      <c r="I59" s="733">
        <f>SUM(I39:K58)</f>
        <v>20</v>
      </c>
      <c r="J59" s="734"/>
      <c r="K59" s="735"/>
      <c r="L59" s="868">
        <f>SUM(L39:N58)</f>
        <v>7.8254443283999997E-2</v>
      </c>
      <c r="M59" s="869"/>
      <c r="N59" s="870"/>
      <c r="R59" s="739"/>
    </row>
    <row r="60" spans="1:73" s="25" customFormat="1" ht="15.75" thickBot="1">
      <c r="H60" s="272" t="s">
        <v>97</v>
      </c>
      <c r="I60" s="864" t="str">
        <f>IF(I59&lt;5000,"Lengths Acceptable ✓",IF(I59&gt;=5000,"Length Exceeds Length Appropriate for Small Sites Metric ▲"))</f>
        <v>Lengths Acceptable ✓</v>
      </c>
      <c r="J60" s="864"/>
      <c r="K60" s="864"/>
      <c r="L60" s="864"/>
      <c r="M60" s="864"/>
      <c r="N60" s="865"/>
      <c r="R60" s="739"/>
    </row>
    <row r="61" spans="1:73" s="25" customFormat="1">
      <c r="R61" s="739"/>
      <c r="BA61" s="50" t="s">
        <v>117</v>
      </c>
    </row>
    <row r="62" spans="1:73" s="25" customFormat="1" ht="21">
      <c r="B62" s="57" t="s">
        <v>118</v>
      </c>
      <c r="D62" s="88"/>
      <c r="H62" s="26"/>
      <c r="R62" s="739"/>
      <c r="BA62" s="50" t="s">
        <v>119</v>
      </c>
    </row>
    <row r="63" spans="1:73" s="25" customFormat="1" ht="15.75" thickBot="1">
      <c r="A63" s="910"/>
      <c r="R63" s="739"/>
    </row>
    <row r="64" spans="1:73" s="25" customFormat="1" ht="16.350000000000001" customHeight="1" thickBot="1">
      <c r="A64" s="910"/>
      <c r="B64" s="831" t="s">
        <v>120</v>
      </c>
      <c r="C64" s="682" t="s">
        <v>121</v>
      </c>
      <c r="D64" s="684"/>
      <c r="E64" s="706" t="s">
        <v>122</v>
      </c>
      <c r="F64" s="716"/>
      <c r="G64" s="708"/>
      <c r="H64" s="725" t="s">
        <v>123</v>
      </c>
      <c r="I64" s="725" t="s">
        <v>230</v>
      </c>
      <c r="J64" s="727" t="s">
        <v>125</v>
      </c>
      <c r="K64" s="728"/>
      <c r="L64" s="797" t="s">
        <v>126</v>
      </c>
      <c r="M64" s="683" t="s">
        <v>127</v>
      </c>
      <c r="N64" s="684"/>
      <c r="O64" s="817" t="s">
        <v>68</v>
      </c>
      <c r="P64" s="685"/>
      <c r="R64" s="739"/>
      <c r="T64" s="845" t="s">
        <v>128</v>
      </c>
      <c r="U64" s="846"/>
      <c r="V64" s="846"/>
      <c r="W64" s="846"/>
      <c r="X64" s="846"/>
      <c r="Y64" s="846"/>
      <c r="Z64" s="846"/>
      <c r="AA64" s="846"/>
      <c r="AB64" s="846"/>
      <c r="AC64" s="846"/>
      <c r="AD64" s="847"/>
      <c r="AE64" s="725" t="s">
        <v>129</v>
      </c>
      <c r="AF64" s="845" t="s">
        <v>130</v>
      </c>
      <c r="AG64" s="846"/>
      <c r="AH64" s="846"/>
      <c r="AI64" s="846"/>
      <c r="AJ64" s="867"/>
      <c r="AK64" s="867"/>
      <c r="AL64" s="867"/>
      <c r="AM64" s="867"/>
      <c r="AN64" s="867"/>
      <c r="AO64" s="846"/>
      <c r="AP64" s="847"/>
      <c r="AQ64" s="848" t="s">
        <v>131</v>
      </c>
      <c r="AR64" s="845" t="s">
        <v>130</v>
      </c>
      <c r="AS64" s="846"/>
      <c r="AT64" s="846"/>
      <c r="AU64" s="846"/>
      <c r="AV64" s="846"/>
      <c r="AW64" s="846"/>
      <c r="AX64" s="847"/>
      <c r="BA64" s="154" t="s">
        <v>132</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45" customHeight="1" thickBot="1">
      <c r="A65" s="910"/>
      <c r="B65" s="832"/>
      <c r="C65" s="211" t="s">
        <v>133</v>
      </c>
      <c r="D65" s="90" t="s">
        <v>134</v>
      </c>
      <c r="E65" s="86" t="s">
        <v>135</v>
      </c>
      <c r="F65" s="668" t="s">
        <v>136</v>
      </c>
      <c r="G65" s="677"/>
      <c r="H65" s="726"/>
      <c r="I65" s="726"/>
      <c r="J65" s="729"/>
      <c r="K65" s="730"/>
      <c r="L65" s="914"/>
      <c r="M65" s="698"/>
      <c r="N65" s="699"/>
      <c r="O65" s="196" t="s">
        <v>83</v>
      </c>
      <c r="P65" s="90" t="s">
        <v>84</v>
      </c>
      <c r="R65" s="739"/>
      <c r="T65" s="332" t="s">
        <v>137</v>
      </c>
      <c r="U65" s="351" t="s">
        <v>138</v>
      </c>
      <c r="V65" s="350" t="s">
        <v>139</v>
      </c>
      <c r="W65" s="351" t="s">
        <v>140</v>
      </c>
      <c r="X65" s="354" t="s">
        <v>141</v>
      </c>
      <c r="Y65" s="355"/>
      <c r="Z65" s="355"/>
      <c r="AA65" s="355"/>
      <c r="AB65" s="354" t="s">
        <v>142</v>
      </c>
      <c r="AC65" s="353" t="s">
        <v>143</v>
      </c>
      <c r="AD65" s="350" t="s">
        <v>144</v>
      </c>
      <c r="AE65" s="726"/>
      <c r="AF65" s="333" t="s">
        <v>137</v>
      </c>
      <c r="AG65" s="351" t="s">
        <v>85</v>
      </c>
      <c r="AH65" s="350" t="s">
        <v>86</v>
      </c>
      <c r="AI65" s="333" t="s">
        <v>87</v>
      </c>
      <c r="AJ65" s="357" t="s">
        <v>86</v>
      </c>
      <c r="AK65" s="366"/>
      <c r="AL65" s="366"/>
      <c r="AM65" s="366"/>
      <c r="AN65" s="358" t="s">
        <v>71</v>
      </c>
      <c r="AO65" s="352" t="s">
        <v>71</v>
      </c>
      <c r="AP65" s="350" t="s">
        <v>88</v>
      </c>
      <c r="AQ65" s="866"/>
      <c r="AR65" s="350" t="s">
        <v>145</v>
      </c>
      <c r="AS65" s="351" t="s">
        <v>146</v>
      </c>
      <c r="AT65" s="350" t="s">
        <v>147</v>
      </c>
      <c r="AU65" s="352" t="s">
        <v>148</v>
      </c>
      <c r="AV65" s="350" t="s">
        <v>149</v>
      </c>
      <c r="AW65" s="181" t="s">
        <v>150</v>
      </c>
      <c r="AX65" s="182" t="s">
        <v>151</v>
      </c>
      <c r="BA65" s="83" t="s">
        <v>231</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c r="B66" s="270">
        <v>1</v>
      </c>
      <c r="C66" s="415" t="str">
        <f t="shared" ref="C66:C85" si="12">IF(D66="","",C11)</f>
        <v/>
      </c>
      <c r="D66" s="416" t="str">
        <f>IF(OR(K11="", K11=0),"",D11)</f>
        <v/>
      </c>
      <c r="E66" s="417" t="str">
        <f t="shared" ref="E66:E85" si="13">IF(AX66="","",AX66)</f>
        <v/>
      </c>
      <c r="F66" s="880"/>
      <c r="G66" s="881"/>
      <c r="H66" s="418" t="str">
        <f t="shared" ref="H66:H85" si="14">IF(D66="","",AB66)</f>
        <v/>
      </c>
      <c r="I66" s="419" t="str">
        <f>IF(OR(K11="", K11=0),"",K11)</f>
        <v/>
      </c>
      <c r="J66" s="911" t="str">
        <f>IFERROR(IF(F66="","",VLOOKUP(F66,'10. Condition and Temporal'!$B$6:$F$103,5,FALSE)), "Error ▲")</f>
        <v/>
      </c>
      <c r="K66" s="912"/>
      <c r="L66" s="295" t="str">
        <f>IFERROR(IF(D66="","",IF(AX66="Distinctiveness",(((((I66*AH66*AJ66)-(I66*V66*X66))*(AV66*AT66))+(I66*V66*X66))*AP66/1000),((((I66*AH66*AJ66)-(I66*V66*X66))*(AV66*AR66))+(I66*V66*X66))*AP66/1000)),"This intervention is not permitted within the SSM ▲")</f>
        <v/>
      </c>
      <c r="M66" s="915" t="str">
        <f>IFERROR(IF(F66="","",L66-AD66), "Error ▲")</f>
        <v/>
      </c>
      <c r="N66" s="916"/>
      <c r="O66" s="217"/>
      <c r="P66" s="142"/>
      <c r="R66" s="739"/>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157</v>
      </c>
      <c r="BX66" s="95">
        <f>BB64</f>
        <v>0</v>
      </c>
    </row>
    <row r="67" spans="1:76" s="25" customFormat="1" ht="15.75">
      <c r="B67" s="264">
        <v>2</v>
      </c>
      <c r="C67" s="119" t="str">
        <f t="shared" si="12"/>
        <v/>
      </c>
      <c r="D67" s="208" t="str">
        <f t="shared" ref="D67:D85" si="43">IF(OR(K12="", K12=0),"",D12)</f>
        <v/>
      </c>
      <c r="E67" s="166" t="str">
        <f t="shared" si="13"/>
        <v/>
      </c>
      <c r="F67" s="824"/>
      <c r="G67" s="825"/>
      <c r="H67" s="163" t="str">
        <f t="shared" si="14"/>
        <v/>
      </c>
      <c r="I67" s="320" t="str">
        <f t="shared" ref="I67:I85" si="44">IF(OR(K12="", K12=0),"",K12)</f>
        <v/>
      </c>
      <c r="J67" s="871" t="str">
        <f>IFERROR(IF(F67="","",VLOOKUP(F67,'10. Condition and Temporal'!$B$6:$F$103,5,FALSE)), "Error ▲")</f>
        <v/>
      </c>
      <c r="K67" s="872"/>
      <c r="L67" s="283" t="str">
        <f t="shared" ref="L67:L85" si="45">IFERROR(IF(D67="","",IF(AX67="Distinctiveness",(((((I67*AH67*AJ67)-(I67*V67*X67))*(AV67*AT67))+(I67*V67*X67))*AP67/1000),((((I67*AH67*AJ67)-(I67*V67*X67))*(AV67*AR67))+(I67*V67*X67))*AP67/1000)),"This intervention is not permitted within the SSM ▲")</f>
        <v/>
      </c>
      <c r="M67" s="732" t="str">
        <f t="shared" ref="M67:M85" si="46">IFERROR(IF(F67="","",L67-AD67), "Error ▲")</f>
        <v/>
      </c>
      <c r="N67" s="873"/>
      <c r="O67" s="74"/>
      <c r="P67" s="12"/>
      <c r="R67" s="739"/>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158</v>
      </c>
      <c r="BX67" s="95">
        <f>BC64</f>
        <v>0</v>
      </c>
    </row>
    <row r="68" spans="1:76" s="25" customFormat="1" ht="15.75">
      <c r="B68" s="264">
        <v>3</v>
      </c>
      <c r="C68" s="119" t="str">
        <f t="shared" si="12"/>
        <v/>
      </c>
      <c r="D68" s="208" t="str">
        <f t="shared" si="43"/>
        <v/>
      </c>
      <c r="E68" s="166" t="str">
        <f t="shared" si="13"/>
        <v/>
      </c>
      <c r="F68" s="824"/>
      <c r="G68" s="825"/>
      <c r="H68" s="163" t="str">
        <f t="shared" si="14"/>
        <v/>
      </c>
      <c r="I68" s="320" t="str">
        <f t="shared" si="44"/>
        <v/>
      </c>
      <c r="J68" s="871" t="str">
        <f>IFERROR(IF(F68="","",VLOOKUP(F68,'10. Condition and Temporal'!$B$6:$F$103,5,FALSE)), "Error ▲")</f>
        <v/>
      </c>
      <c r="K68" s="872"/>
      <c r="L68" s="283" t="str">
        <f t="shared" si="45"/>
        <v/>
      </c>
      <c r="M68" s="732" t="str">
        <f t="shared" si="46"/>
        <v/>
      </c>
      <c r="N68" s="873"/>
      <c r="O68" s="74"/>
      <c r="P68" s="12"/>
      <c r="R68" s="739"/>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159</v>
      </c>
      <c r="BX68" s="95">
        <f>BD64</f>
        <v>0</v>
      </c>
    </row>
    <row r="69" spans="1:76" s="25" customFormat="1" ht="15.75">
      <c r="B69" s="264">
        <v>4</v>
      </c>
      <c r="C69" s="119" t="str">
        <f t="shared" si="12"/>
        <v/>
      </c>
      <c r="D69" s="208" t="str">
        <f t="shared" si="43"/>
        <v/>
      </c>
      <c r="E69" s="166" t="str">
        <f t="shared" si="13"/>
        <v/>
      </c>
      <c r="F69" s="824"/>
      <c r="G69" s="825"/>
      <c r="H69" s="163" t="str">
        <f t="shared" si="14"/>
        <v/>
      </c>
      <c r="I69" s="320" t="str">
        <f t="shared" si="44"/>
        <v/>
      </c>
      <c r="J69" s="871" t="str">
        <f>IFERROR(IF(F69="","",VLOOKUP(F69,'10. Condition and Temporal'!$B$6:$F$103,5,FALSE)), "Error ▲")</f>
        <v/>
      </c>
      <c r="K69" s="872"/>
      <c r="L69" s="283" t="str">
        <f t="shared" si="45"/>
        <v/>
      </c>
      <c r="M69" s="732" t="str">
        <f t="shared" si="46"/>
        <v/>
      </c>
      <c r="N69" s="873"/>
      <c r="O69" s="74"/>
      <c r="P69" s="12"/>
      <c r="R69" s="739"/>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160</v>
      </c>
      <c r="BX69" s="95">
        <f>BE64</f>
        <v>0</v>
      </c>
    </row>
    <row r="70" spans="1:76" s="25" customFormat="1" ht="15.75">
      <c r="B70" s="264">
        <v>5</v>
      </c>
      <c r="C70" s="119" t="str">
        <f t="shared" si="12"/>
        <v/>
      </c>
      <c r="D70" s="208" t="str">
        <f t="shared" si="43"/>
        <v/>
      </c>
      <c r="E70" s="166" t="str">
        <f t="shared" si="13"/>
        <v/>
      </c>
      <c r="F70" s="824"/>
      <c r="G70" s="825"/>
      <c r="H70" s="163" t="str">
        <f t="shared" si="14"/>
        <v/>
      </c>
      <c r="I70" s="320" t="str">
        <f t="shared" si="44"/>
        <v/>
      </c>
      <c r="J70" s="871" t="str">
        <f>IFERROR(IF(F70="","",VLOOKUP(F70,'10. Condition and Temporal'!$B$6:$F$103,5,FALSE)), "Error ▲")</f>
        <v/>
      </c>
      <c r="K70" s="872"/>
      <c r="L70" s="283" t="str">
        <f t="shared" si="45"/>
        <v/>
      </c>
      <c r="M70" s="732" t="str">
        <f t="shared" si="46"/>
        <v/>
      </c>
      <c r="N70" s="873"/>
      <c r="O70" s="74"/>
      <c r="P70" s="12"/>
      <c r="R70" s="739"/>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161</v>
      </c>
      <c r="BX70" s="95">
        <f>BF64</f>
        <v>0</v>
      </c>
    </row>
    <row r="71" spans="1:76" s="25" customFormat="1" ht="15.75">
      <c r="B71" s="264">
        <v>6</v>
      </c>
      <c r="C71" s="119" t="str">
        <f t="shared" si="12"/>
        <v/>
      </c>
      <c r="D71" s="208" t="str">
        <f t="shared" si="43"/>
        <v/>
      </c>
      <c r="E71" s="166" t="str">
        <f t="shared" si="13"/>
        <v/>
      </c>
      <c r="F71" s="824"/>
      <c r="G71" s="825"/>
      <c r="H71" s="163" t="str">
        <f t="shared" si="14"/>
        <v/>
      </c>
      <c r="I71" s="320" t="str">
        <f t="shared" si="44"/>
        <v/>
      </c>
      <c r="J71" s="871" t="str">
        <f>IFERROR(IF(F71="","",VLOOKUP(F71,'10. Condition and Temporal'!$B$6:$F$103,5,FALSE)), "Error ▲")</f>
        <v/>
      </c>
      <c r="K71" s="872"/>
      <c r="L71" s="283" t="str">
        <f t="shared" si="45"/>
        <v/>
      </c>
      <c r="M71" s="732" t="str">
        <f t="shared" si="46"/>
        <v/>
      </c>
      <c r="N71" s="873"/>
      <c r="O71" s="74"/>
      <c r="P71" s="12"/>
      <c r="R71" s="739"/>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162</v>
      </c>
      <c r="BX71" s="95">
        <f>BG64</f>
        <v>0</v>
      </c>
    </row>
    <row r="72" spans="1:76" s="25" customFormat="1" ht="15.75">
      <c r="B72" s="264">
        <v>7</v>
      </c>
      <c r="C72" s="119" t="str">
        <f t="shared" si="12"/>
        <v/>
      </c>
      <c r="D72" s="208" t="str">
        <f t="shared" si="43"/>
        <v/>
      </c>
      <c r="E72" s="166" t="str">
        <f t="shared" si="13"/>
        <v/>
      </c>
      <c r="F72" s="824"/>
      <c r="G72" s="825"/>
      <c r="H72" s="163" t="str">
        <f t="shared" si="14"/>
        <v/>
      </c>
      <c r="I72" s="320" t="str">
        <f t="shared" si="44"/>
        <v/>
      </c>
      <c r="J72" s="871" t="str">
        <f>IFERROR(IF(F72="","",VLOOKUP(F72,'10. Condition and Temporal'!$B$6:$F$103,5,FALSE)), "Error ▲")</f>
        <v/>
      </c>
      <c r="K72" s="872"/>
      <c r="L72" s="283" t="str">
        <f t="shared" si="45"/>
        <v/>
      </c>
      <c r="M72" s="732" t="str">
        <f t="shared" si="46"/>
        <v/>
      </c>
      <c r="N72" s="873"/>
      <c r="O72" s="74"/>
      <c r="P72" s="12"/>
      <c r="R72" s="739"/>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163</v>
      </c>
      <c r="BX72" s="95">
        <f>BH64</f>
        <v>0</v>
      </c>
    </row>
    <row r="73" spans="1:76" s="25" customFormat="1" ht="15.75">
      <c r="B73" s="264">
        <v>8</v>
      </c>
      <c r="C73" s="119" t="str">
        <f t="shared" si="12"/>
        <v/>
      </c>
      <c r="D73" s="208" t="str">
        <f t="shared" si="43"/>
        <v/>
      </c>
      <c r="E73" s="166" t="str">
        <f t="shared" si="13"/>
        <v/>
      </c>
      <c r="F73" s="824"/>
      <c r="G73" s="825"/>
      <c r="H73" s="163" t="str">
        <f t="shared" si="14"/>
        <v/>
      </c>
      <c r="I73" s="320" t="str">
        <f t="shared" si="44"/>
        <v/>
      </c>
      <c r="J73" s="871" t="str">
        <f>IFERROR(IF(F73="","",VLOOKUP(F73,'10. Condition and Temporal'!$B$6:$F$103,5,FALSE)), "Error ▲")</f>
        <v/>
      </c>
      <c r="K73" s="872"/>
      <c r="L73" s="283" t="str">
        <f t="shared" si="45"/>
        <v/>
      </c>
      <c r="M73" s="732" t="str">
        <f t="shared" si="46"/>
        <v/>
      </c>
      <c r="N73" s="873"/>
      <c r="O73" s="74"/>
      <c r="P73" s="12"/>
      <c r="R73" s="739"/>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164</v>
      </c>
      <c r="BX73" s="95">
        <f>BI64</f>
        <v>0</v>
      </c>
    </row>
    <row r="74" spans="1:76" s="25" customFormat="1" ht="15.75">
      <c r="B74" s="264">
        <v>9</v>
      </c>
      <c r="C74" s="119" t="str">
        <f t="shared" si="12"/>
        <v/>
      </c>
      <c r="D74" s="208" t="str">
        <f t="shared" si="43"/>
        <v/>
      </c>
      <c r="E74" s="166" t="str">
        <f t="shared" si="13"/>
        <v/>
      </c>
      <c r="F74" s="824"/>
      <c r="G74" s="825"/>
      <c r="H74" s="163" t="str">
        <f t="shared" si="14"/>
        <v/>
      </c>
      <c r="I74" s="320" t="str">
        <f t="shared" si="44"/>
        <v/>
      </c>
      <c r="J74" s="871" t="str">
        <f>IFERROR(IF(F74="","",VLOOKUP(F74,'10. Condition and Temporal'!$B$6:$F$103,5,FALSE)), "Error ▲")</f>
        <v/>
      </c>
      <c r="K74" s="872"/>
      <c r="L74" s="283" t="str">
        <f t="shared" si="45"/>
        <v/>
      </c>
      <c r="M74" s="732" t="str">
        <f t="shared" si="46"/>
        <v/>
      </c>
      <c r="N74" s="873"/>
      <c r="O74" s="74"/>
      <c r="P74" s="12"/>
      <c r="R74" s="739"/>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165</v>
      </c>
      <c r="BX74" s="95">
        <f>BJ64</f>
        <v>0</v>
      </c>
    </row>
    <row r="75" spans="1:76" s="25" customFormat="1" ht="15.75">
      <c r="B75" s="264">
        <v>10</v>
      </c>
      <c r="C75" s="119" t="str">
        <f t="shared" si="12"/>
        <v/>
      </c>
      <c r="D75" s="208" t="str">
        <f t="shared" si="43"/>
        <v/>
      </c>
      <c r="E75" s="166" t="str">
        <f t="shared" si="13"/>
        <v/>
      </c>
      <c r="F75" s="824"/>
      <c r="G75" s="825"/>
      <c r="H75" s="163" t="str">
        <f t="shared" si="14"/>
        <v/>
      </c>
      <c r="I75" s="320" t="str">
        <f t="shared" si="44"/>
        <v/>
      </c>
      <c r="J75" s="871" t="str">
        <f>IFERROR(IF(F75="","",VLOOKUP(F75,'10. Condition and Temporal'!$B$6:$F$103,5,FALSE)), "Error ▲")</f>
        <v/>
      </c>
      <c r="K75" s="872"/>
      <c r="L75" s="283" t="str">
        <f t="shared" si="45"/>
        <v/>
      </c>
      <c r="M75" s="732" t="str">
        <f t="shared" si="46"/>
        <v/>
      </c>
      <c r="N75" s="873"/>
      <c r="O75" s="74"/>
      <c r="P75" s="12"/>
      <c r="R75" s="739"/>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166</v>
      </c>
      <c r="BX75" s="95">
        <f>BK64</f>
        <v>0</v>
      </c>
    </row>
    <row r="76" spans="1:76" s="25" customFormat="1" ht="15.75">
      <c r="B76" s="264">
        <v>11</v>
      </c>
      <c r="C76" s="119" t="str">
        <f t="shared" si="12"/>
        <v/>
      </c>
      <c r="D76" s="208" t="str">
        <f t="shared" si="43"/>
        <v/>
      </c>
      <c r="E76" s="166" t="str">
        <f t="shared" si="13"/>
        <v/>
      </c>
      <c r="F76" s="824"/>
      <c r="G76" s="825"/>
      <c r="H76" s="163" t="str">
        <f t="shared" si="14"/>
        <v/>
      </c>
      <c r="I76" s="320" t="str">
        <f t="shared" si="44"/>
        <v/>
      </c>
      <c r="J76" s="871" t="str">
        <f>IFERROR(IF(F76="","",VLOOKUP(F76,'10. Condition and Temporal'!$B$6:$F$103,5,FALSE)), "Error ▲")</f>
        <v/>
      </c>
      <c r="K76" s="872"/>
      <c r="L76" s="283" t="str">
        <f t="shared" si="45"/>
        <v/>
      </c>
      <c r="M76" s="732" t="str">
        <f t="shared" si="46"/>
        <v/>
      </c>
      <c r="N76" s="873"/>
      <c r="O76" s="74"/>
      <c r="P76" s="12"/>
      <c r="R76" s="739"/>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167</v>
      </c>
      <c r="BX76" s="95">
        <f>BL64</f>
        <v>0</v>
      </c>
    </row>
    <row r="77" spans="1:76" s="25" customFormat="1" ht="15.75">
      <c r="B77" s="264">
        <v>12</v>
      </c>
      <c r="C77" s="119" t="str">
        <f t="shared" si="12"/>
        <v/>
      </c>
      <c r="D77" s="208" t="str">
        <f t="shared" si="43"/>
        <v/>
      </c>
      <c r="E77" s="166" t="str">
        <f t="shared" si="13"/>
        <v/>
      </c>
      <c r="F77" s="824"/>
      <c r="G77" s="825"/>
      <c r="H77" s="163" t="str">
        <f t="shared" si="14"/>
        <v/>
      </c>
      <c r="I77" s="320" t="str">
        <f t="shared" si="44"/>
        <v/>
      </c>
      <c r="J77" s="871" t="str">
        <f>IFERROR(IF(F77="","",VLOOKUP(F77,'10. Condition and Temporal'!$B$6:$F$103,5,FALSE)), "Error ▲")</f>
        <v/>
      </c>
      <c r="K77" s="872"/>
      <c r="L77" s="283" t="str">
        <f t="shared" si="45"/>
        <v/>
      </c>
      <c r="M77" s="732" t="str">
        <f t="shared" si="46"/>
        <v/>
      </c>
      <c r="N77" s="873"/>
      <c r="O77" s="74"/>
      <c r="P77" s="12"/>
      <c r="R77" s="739"/>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168</v>
      </c>
      <c r="BX77" s="95">
        <f>BM64</f>
        <v>0</v>
      </c>
    </row>
    <row r="78" spans="1:76" s="25" customFormat="1" ht="15.75">
      <c r="B78" s="264">
        <v>13</v>
      </c>
      <c r="C78" s="119" t="str">
        <f t="shared" si="12"/>
        <v/>
      </c>
      <c r="D78" s="208" t="str">
        <f t="shared" si="43"/>
        <v/>
      </c>
      <c r="E78" s="166" t="str">
        <f t="shared" si="13"/>
        <v/>
      </c>
      <c r="F78" s="824"/>
      <c r="G78" s="825"/>
      <c r="H78" s="163" t="str">
        <f t="shared" si="14"/>
        <v/>
      </c>
      <c r="I78" s="320" t="str">
        <f t="shared" si="44"/>
        <v/>
      </c>
      <c r="J78" s="871" t="str">
        <f>IFERROR(IF(F78="","",VLOOKUP(F78,'10. Condition and Temporal'!$B$6:$F$103,5,FALSE)), "Error ▲")</f>
        <v/>
      </c>
      <c r="K78" s="872"/>
      <c r="L78" s="283" t="str">
        <f>IFERROR(IF(D78="","",IF(AX78="Distinctiveness",(((((I78*AH78*AJ78)-(I78*V78*X78))*(AV78*AT78))+(I78*V78*X78))*AP78/1000),((((I78*AH78*AJ78)-(I78*V78*X78))*(AV78*AR78))+(I78*V78*X78))*AP78/1000)),"This intervention is not permitted within the SSM ▲")</f>
        <v/>
      </c>
      <c r="M78" s="732" t="str">
        <f t="shared" si="46"/>
        <v/>
      </c>
      <c r="N78" s="873"/>
      <c r="O78" s="74"/>
      <c r="P78" s="12"/>
      <c r="R78" s="739"/>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169</v>
      </c>
      <c r="BX78" s="95">
        <f>BN64</f>
        <v>0</v>
      </c>
    </row>
    <row r="79" spans="1:76" s="25" customFormat="1" ht="15.75">
      <c r="B79" s="264">
        <v>14</v>
      </c>
      <c r="C79" s="119" t="str">
        <f t="shared" si="12"/>
        <v/>
      </c>
      <c r="D79" s="208" t="str">
        <f t="shared" si="43"/>
        <v/>
      </c>
      <c r="E79" s="166" t="str">
        <f t="shared" si="13"/>
        <v/>
      </c>
      <c r="F79" s="824"/>
      <c r="G79" s="825"/>
      <c r="H79" s="163" t="str">
        <f t="shared" si="14"/>
        <v/>
      </c>
      <c r="I79" s="320" t="str">
        <f t="shared" si="44"/>
        <v/>
      </c>
      <c r="J79" s="871" t="str">
        <f>IFERROR(IF(F79="","",VLOOKUP(F79,'10. Condition and Temporal'!$B$6:$F$103,5,FALSE)), "Error ▲")</f>
        <v/>
      </c>
      <c r="K79" s="872"/>
      <c r="L79" s="283" t="str">
        <f t="shared" si="45"/>
        <v/>
      </c>
      <c r="M79" s="732" t="str">
        <f t="shared" si="46"/>
        <v/>
      </c>
      <c r="N79" s="873"/>
      <c r="O79" s="74"/>
      <c r="P79" s="12"/>
      <c r="R79" s="739"/>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170</v>
      </c>
      <c r="BX79" s="95">
        <f>BO64</f>
        <v>0</v>
      </c>
    </row>
    <row r="80" spans="1:76" s="25" customFormat="1" ht="15.75">
      <c r="B80" s="264">
        <v>15</v>
      </c>
      <c r="C80" s="119" t="str">
        <f t="shared" si="12"/>
        <v/>
      </c>
      <c r="D80" s="208" t="str">
        <f t="shared" si="43"/>
        <v/>
      </c>
      <c r="E80" s="166" t="str">
        <f t="shared" si="13"/>
        <v/>
      </c>
      <c r="F80" s="824"/>
      <c r="G80" s="825"/>
      <c r="H80" s="163" t="str">
        <f t="shared" si="14"/>
        <v/>
      </c>
      <c r="I80" s="320" t="str">
        <f t="shared" si="44"/>
        <v/>
      </c>
      <c r="J80" s="871" t="str">
        <f>IFERROR(IF(F80="","",VLOOKUP(F80,'10. Condition and Temporal'!$B$6:$F$103,5,FALSE)), "Error ▲")</f>
        <v/>
      </c>
      <c r="K80" s="872"/>
      <c r="L80" s="283" t="str">
        <f t="shared" si="45"/>
        <v/>
      </c>
      <c r="M80" s="732" t="str">
        <f t="shared" si="46"/>
        <v/>
      </c>
      <c r="N80" s="873"/>
      <c r="O80" s="74"/>
      <c r="P80" s="12"/>
      <c r="R80" s="739"/>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171</v>
      </c>
      <c r="BX80" s="95">
        <f>BP64</f>
        <v>0</v>
      </c>
    </row>
    <row r="81" spans="1:76" s="25" customFormat="1" ht="15.75">
      <c r="B81" s="264">
        <v>16</v>
      </c>
      <c r="C81" s="119" t="str">
        <f t="shared" si="12"/>
        <v/>
      </c>
      <c r="D81" s="208" t="str">
        <f t="shared" si="43"/>
        <v/>
      </c>
      <c r="E81" s="166" t="str">
        <f t="shared" si="13"/>
        <v/>
      </c>
      <c r="F81" s="824"/>
      <c r="G81" s="825"/>
      <c r="H81" s="163" t="str">
        <f t="shared" si="14"/>
        <v/>
      </c>
      <c r="I81" s="320" t="str">
        <f t="shared" si="44"/>
        <v/>
      </c>
      <c r="J81" s="871" t="str">
        <f>IFERROR(IF(F81="","",VLOOKUP(F81,'10. Condition and Temporal'!$B$6:$F$103,5,FALSE)), "Error ▲")</f>
        <v/>
      </c>
      <c r="K81" s="872"/>
      <c r="L81" s="283" t="str">
        <f t="shared" si="45"/>
        <v/>
      </c>
      <c r="M81" s="732" t="str">
        <f t="shared" si="46"/>
        <v/>
      </c>
      <c r="N81" s="873"/>
      <c r="O81" s="74"/>
      <c r="P81" s="12"/>
      <c r="R81" s="739"/>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172</v>
      </c>
      <c r="BX81" s="95">
        <f>BQ64</f>
        <v>0</v>
      </c>
    </row>
    <row r="82" spans="1:76" s="25" customFormat="1" ht="15.75">
      <c r="B82" s="264">
        <v>17</v>
      </c>
      <c r="C82" s="119" t="str">
        <f t="shared" si="12"/>
        <v/>
      </c>
      <c r="D82" s="208" t="str">
        <f t="shared" si="43"/>
        <v/>
      </c>
      <c r="E82" s="166" t="str">
        <f t="shared" si="13"/>
        <v/>
      </c>
      <c r="F82" s="824"/>
      <c r="G82" s="825"/>
      <c r="H82" s="163" t="str">
        <f t="shared" si="14"/>
        <v/>
      </c>
      <c r="I82" s="320" t="str">
        <f t="shared" si="44"/>
        <v/>
      </c>
      <c r="J82" s="871" t="str">
        <f>IFERROR(IF(F82="","",VLOOKUP(F82,'10. Condition and Temporal'!$B$6:$F$103,5,FALSE)), "Error ▲")</f>
        <v/>
      </c>
      <c r="K82" s="872"/>
      <c r="L82" s="283" t="str">
        <f t="shared" si="45"/>
        <v/>
      </c>
      <c r="M82" s="732" t="str">
        <f t="shared" si="46"/>
        <v/>
      </c>
      <c r="N82" s="873"/>
      <c r="O82" s="74"/>
      <c r="P82" s="12"/>
      <c r="R82" s="739"/>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173</v>
      </c>
      <c r="BX82" s="95">
        <f>BR64</f>
        <v>0</v>
      </c>
    </row>
    <row r="83" spans="1:76" s="25" customFormat="1" ht="15.75">
      <c r="B83" s="264">
        <v>18</v>
      </c>
      <c r="C83" s="119" t="str">
        <f t="shared" si="12"/>
        <v/>
      </c>
      <c r="D83" s="208" t="str">
        <f t="shared" si="43"/>
        <v/>
      </c>
      <c r="E83" s="166" t="str">
        <f t="shared" si="13"/>
        <v/>
      </c>
      <c r="F83" s="824"/>
      <c r="G83" s="825"/>
      <c r="H83" s="163" t="str">
        <f t="shared" si="14"/>
        <v/>
      </c>
      <c r="I83" s="320" t="str">
        <f t="shared" si="44"/>
        <v/>
      </c>
      <c r="J83" s="871" t="str">
        <f>IFERROR(IF(F83="","",VLOOKUP(F83,'10. Condition and Temporal'!$B$6:$F$103,5,FALSE)), "Error ▲")</f>
        <v/>
      </c>
      <c r="K83" s="872"/>
      <c r="L83" s="283" t="str">
        <f t="shared" si="45"/>
        <v/>
      </c>
      <c r="M83" s="732" t="str">
        <f t="shared" si="46"/>
        <v/>
      </c>
      <c r="N83" s="873"/>
      <c r="O83" s="74"/>
      <c r="P83" s="12"/>
      <c r="R83" s="739"/>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174</v>
      </c>
      <c r="BX83" s="95">
        <f>BS64</f>
        <v>0</v>
      </c>
    </row>
    <row r="84" spans="1:76" s="25" customFormat="1" ht="15.75">
      <c r="B84" s="264">
        <v>19</v>
      </c>
      <c r="C84" s="119" t="str">
        <f t="shared" si="12"/>
        <v/>
      </c>
      <c r="D84" s="208" t="str">
        <f t="shared" si="43"/>
        <v/>
      </c>
      <c r="E84" s="166" t="str">
        <f t="shared" si="13"/>
        <v/>
      </c>
      <c r="F84" s="824"/>
      <c r="G84" s="825"/>
      <c r="H84" s="163" t="str">
        <f t="shared" si="14"/>
        <v/>
      </c>
      <c r="I84" s="320" t="str">
        <f t="shared" si="44"/>
        <v/>
      </c>
      <c r="J84" s="871" t="str">
        <f>IFERROR(IF(F84="","",VLOOKUP(F84,'10. Condition and Temporal'!$B$6:$F$103,5,FALSE)), "Error ▲")</f>
        <v/>
      </c>
      <c r="K84" s="872"/>
      <c r="L84" s="283" t="str">
        <f t="shared" si="45"/>
        <v/>
      </c>
      <c r="M84" s="732" t="str">
        <f t="shared" si="46"/>
        <v/>
      </c>
      <c r="N84" s="873"/>
      <c r="O84" s="74"/>
      <c r="P84" s="12"/>
      <c r="R84" s="739"/>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175</v>
      </c>
      <c r="BX84" s="95">
        <f>BT64</f>
        <v>0</v>
      </c>
    </row>
    <row r="85" spans="1:76" s="25" customFormat="1" ht="16.5" thickBot="1">
      <c r="B85" s="265">
        <v>20</v>
      </c>
      <c r="C85" s="138" t="str">
        <f t="shared" si="12"/>
        <v/>
      </c>
      <c r="D85" s="420" t="str">
        <f t="shared" si="43"/>
        <v/>
      </c>
      <c r="E85" s="167" t="str">
        <f t="shared" si="13"/>
        <v/>
      </c>
      <c r="F85" s="852"/>
      <c r="G85" s="853"/>
      <c r="H85" s="164" t="str">
        <f t="shared" si="14"/>
        <v/>
      </c>
      <c r="I85" s="421" t="str">
        <f t="shared" si="44"/>
        <v/>
      </c>
      <c r="J85" s="922" t="str">
        <f>IFERROR(IF(F85="","",VLOOKUP(F85,'10. Condition and Temporal'!$B$6:$F$103,5,FALSE)), "Error ▲")</f>
        <v/>
      </c>
      <c r="K85" s="923"/>
      <c r="L85" s="422" t="str">
        <f t="shared" si="45"/>
        <v/>
      </c>
      <c r="M85" s="913" t="str">
        <f t="shared" si="46"/>
        <v/>
      </c>
      <c r="N85" s="870"/>
      <c r="O85" s="75"/>
      <c r="P85" s="14"/>
      <c r="R85" s="739"/>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176</v>
      </c>
      <c r="BX85" s="95">
        <f>BU64</f>
        <v>0</v>
      </c>
    </row>
    <row r="86" spans="1:76" s="25" customFormat="1" ht="15.75" thickBot="1">
      <c r="H86" s="268" t="s">
        <v>227</v>
      </c>
      <c r="I86" s="322">
        <f>SUM(I66:I85)</f>
        <v>0</v>
      </c>
      <c r="J86" s="414"/>
      <c r="L86" s="391">
        <f>SUM(L66:L85)</f>
        <v>0</v>
      </c>
      <c r="M86" s="868">
        <f>SUM(M66:N85)</f>
        <v>0</v>
      </c>
      <c r="N86" s="870"/>
      <c r="R86" s="739"/>
    </row>
    <row r="87" spans="1:76" s="25" customFormat="1">
      <c r="C87" s="26"/>
      <c r="R87" s="739"/>
    </row>
    <row r="88" spans="1:76" s="25" customFormat="1">
      <c r="R88" s="739"/>
    </row>
    <row r="89" spans="1:76" s="25" customFormat="1" ht="19.350000000000001" customHeight="1">
      <c r="R89" s="739"/>
    </row>
    <row r="90" spans="1:76" s="25" customFormat="1">
      <c r="R90" s="739"/>
    </row>
    <row r="91" spans="1:76" s="25" customFormat="1">
      <c r="A91" s="805" t="s">
        <v>191</v>
      </c>
      <c r="B91" s="805"/>
      <c r="C91" s="805"/>
      <c r="D91" s="805"/>
      <c r="E91" s="805"/>
      <c r="F91" s="805"/>
      <c r="G91" s="805"/>
      <c r="H91" s="805"/>
      <c r="I91" s="805"/>
      <c r="J91" s="805"/>
      <c r="K91" s="805"/>
      <c r="L91" s="805"/>
      <c r="M91" s="805"/>
      <c r="N91" s="805"/>
      <c r="O91" s="805"/>
      <c r="P91" s="805"/>
      <c r="Q91" s="805"/>
      <c r="R91" s="739"/>
    </row>
    <row r="92" spans="1:76" s="25" customFormat="1">
      <c r="A92" s="805"/>
      <c r="B92" s="805"/>
      <c r="C92" s="805"/>
      <c r="D92" s="805"/>
      <c r="E92" s="805"/>
      <c r="F92" s="805"/>
      <c r="G92" s="805"/>
      <c r="H92" s="805"/>
      <c r="I92" s="805"/>
      <c r="J92" s="805"/>
      <c r="K92" s="805"/>
      <c r="L92" s="805"/>
      <c r="M92" s="805"/>
      <c r="N92" s="805"/>
      <c r="O92" s="805"/>
      <c r="P92" s="805"/>
      <c r="Q92" s="805"/>
      <c r="R92" s="739"/>
    </row>
    <row r="93" spans="1:76" s="25" customFormat="1">
      <c r="A93" s="805"/>
      <c r="B93" s="805"/>
      <c r="C93" s="805"/>
      <c r="D93" s="805"/>
      <c r="E93" s="805"/>
      <c r="F93" s="805"/>
      <c r="G93" s="805"/>
      <c r="H93" s="805"/>
      <c r="I93" s="805"/>
      <c r="J93" s="805"/>
      <c r="K93" s="805"/>
      <c r="L93" s="805"/>
      <c r="M93" s="805"/>
      <c r="N93" s="805"/>
      <c r="O93" s="805"/>
      <c r="P93" s="805"/>
      <c r="Q93" s="805"/>
      <c r="R93" s="739"/>
    </row>
    <row r="94" spans="1:76" s="25" customFormat="1">
      <c r="R94" s="739"/>
    </row>
    <row r="95" spans="1:76" s="25" customFormat="1" ht="21">
      <c r="B95" s="57" t="s">
        <v>192</v>
      </c>
      <c r="D95" s="26"/>
      <c r="E95" s="26"/>
      <c r="F95" s="26"/>
      <c r="G95" s="26"/>
      <c r="R95" s="739"/>
    </row>
    <row r="96" spans="1:76" s="25" customFormat="1" ht="15.75" thickBot="1">
      <c r="R96" s="739"/>
    </row>
    <row r="97" spans="2:18" s="25" customFormat="1" ht="36.75" customHeight="1" thickBot="1">
      <c r="B97" s="917" t="s">
        <v>232</v>
      </c>
      <c r="C97" s="918"/>
      <c r="D97" s="919"/>
      <c r="E97" s="920" t="str" cm="1">
        <f t="array" aca="1" ref="E97" ca="1">IF(OR(H103:H113="No ▲"),"Error - Trading Rules Not Satisfied ▲","Trading Rules Satisfied ✓")</f>
        <v>Trading Rules Satisfied ✓</v>
      </c>
      <c r="F97" s="920"/>
      <c r="G97" s="920"/>
      <c r="H97" s="920"/>
      <c r="I97" s="921"/>
      <c r="J97" s="157">
        <f ca="1">IFERROR(FIND("Error",E97),0)</f>
        <v>0</v>
      </c>
      <c r="R97" s="739"/>
    </row>
    <row r="98" spans="2:18" s="25" customFormat="1">
      <c r="R98" s="739"/>
    </row>
    <row r="99" spans="2:18" s="25" customFormat="1" ht="21">
      <c r="B99" s="57" t="s">
        <v>195</v>
      </c>
      <c r="R99" s="739"/>
    </row>
    <row r="100" spans="2:18" s="25" customFormat="1">
      <c r="R100" s="739"/>
    </row>
    <row r="101" spans="2:18" s="25" customFormat="1" ht="15.75" thickBot="1">
      <c r="R101" s="739"/>
    </row>
    <row r="102" spans="2:18" s="25" customFormat="1" ht="51" customHeight="1" thickBot="1">
      <c r="B102" s="456" t="s">
        <v>133</v>
      </c>
      <c r="C102" s="451" t="s">
        <v>85</v>
      </c>
      <c r="D102" s="451" t="s">
        <v>50</v>
      </c>
      <c r="E102" s="451" t="s">
        <v>198</v>
      </c>
      <c r="F102" s="451" t="s">
        <v>199</v>
      </c>
      <c r="G102" s="451" t="s">
        <v>200</v>
      </c>
      <c r="H102" s="441" t="s">
        <v>201</v>
      </c>
      <c r="I102" s="430"/>
      <c r="R102" s="739"/>
    </row>
    <row r="103" spans="2:18" s="25" customFormat="1" ht="30.75" customHeight="1">
      <c r="B103" s="857" t="s">
        <v>226</v>
      </c>
      <c r="C103" s="860" t="s">
        <v>205</v>
      </c>
      <c r="D103" s="452" t="s">
        <v>233</v>
      </c>
      <c r="E103" s="453">
        <f ca="1">SUMIF($D$11:$E$30,D103,$L$11:$L$30)</f>
        <v>0</v>
      </c>
      <c r="F103" s="453">
        <f ca="1">IF($I$31+$I$59+$I$86=0,0,SUMIF($D$39:$D$58,D103,$L$39:$N$58)+SUMIF($F$66:$G$85,D103,$L$66:$L$85)+SUMIF($D$11:$E$30,D103,$AE$11:$AE$30))</f>
        <v>0</v>
      </c>
      <c r="G103" s="453">
        <f ca="1">$F$103-$E$103</f>
        <v>0</v>
      </c>
      <c r="H103" s="924" t="str">
        <f ca="1">IF(G108&gt;=0, "Yes ✓", "No ▲")</f>
        <v>Yes ✓</v>
      </c>
      <c r="I103" s="430"/>
      <c r="R103" s="739"/>
    </row>
    <row r="104" spans="2:18" s="25" customFormat="1" ht="30.75" customHeight="1">
      <c r="B104" s="858"/>
      <c r="C104" s="861"/>
      <c r="D104" s="432" t="s">
        <v>234</v>
      </c>
      <c r="E104" s="433">
        <f t="shared" ref="E104:E113" ca="1" si="51">SUMIF($D$11:$E$30,D104,$L$11:$L$30)</f>
        <v>0</v>
      </c>
      <c r="F104" s="433">
        <f t="shared" ref="F104:F113" ca="1" si="52">IF($I$31+$I$59+$I$86=0,0,SUMIF($D$39:$D$58,D104,$L$39:$N$58)+SUMIF($F$66:$G$85,D104,$L$66:$L$85)+SUMIF($D$11:$E$30,D104,$AE$11:$AE$30))</f>
        <v>0</v>
      </c>
      <c r="G104" s="433">
        <f ca="1">$F$104-$E$104</f>
        <v>0</v>
      </c>
      <c r="H104" s="925"/>
      <c r="I104" s="430"/>
      <c r="R104" s="739"/>
    </row>
    <row r="105" spans="2:18" s="25" customFormat="1" ht="30.75" customHeight="1">
      <c r="B105" s="858"/>
      <c r="C105" s="861"/>
      <c r="D105" s="432" t="s">
        <v>235</v>
      </c>
      <c r="E105" s="433">
        <f t="shared" ca="1" si="51"/>
        <v>0</v>
      </c>
      <c r="F105" s="433">
        <f t="shared" ca="1" si="52"/>
        <v>0</v>
      </c>
      <c r="G105" s="433">
        <f ca="1">$F$105-$E$105</f>
        <v>0</v>
      </c>
      <c r="H105" s="925"/>
      <c r="I105" s="430"/>
      <c r="R105" s="739"/>
    </row>
    <row r="106" spans="2:18" s="25" customFormat="1" ht="30.75" customHeight="1">
      <c r="B106" s="858"/>
      <c r="C106" s="861"/>
      <c r="D106" s="432" t="s">
        <v>236</v>
      </c>
      <c r="E106" s="433">
        <f t="shared" ca="1" si="51"/>
        <v>0</v>
      </c>
      <c r="F106" s="433">
        <f t="shared" ca="1" si="52"/>
        <v>0</v>
      </c>
      <c r="G106" s="433">
        <f ca="1">$F$106-$E$106</f>
        <v>0</v>
      </c>
      <c r="H106" s="925"/>
      <c r="I106" s="430"/>
      <c r="R106" s="739"/>
    </row>
    <row r="107" spans="2:18" s="25" customFormat="1" ht="30.75" customHeight="1">
      <c r="B107" s="858"/>
      <c r="C107" s="861"/>
      <c r="D107" s="432" t="s">
        <v>237</v>
      </c>
      <c r="E107" s="433">
        <f t="shared" ca="1" si="51"/>
        <v>0</v>
      </c>
      <c r="F107" s="433">
        <f t="shared" ca="1" si="52"/>
        <v>0</v>
      </c>
      <c r="G107" s="433">
        <f ca="1">$F$107-$E$107</f>
        <v>0</v>
      </c>
      <c r="H107" s="925"/>
      <c r="I107" s="157"/>
      <c r="R107" s="739"/>
    </row>
    <row r="108" spans="2:18" s="25" customFormat="1" ht="30.75" customHeight="1" thickBot="1">
      <c r="B108" s="858"/>
      <c r="C108" s="862"/>
      <c r="D108" s="444" t="s">
        <v>238</v>
      </c>
      <c r="E108" s="445">
        <f ca="1">SUM($E$103:$E$107)</f>
        <v>0</v>
      </c>
      <c r="F108" s="445">
        <f ca="1">SUM($F$103:$F$107)</f>
        <v>0</v>
      </c>
      <c r="G108" s="445">
        <f ca="1">SUM($G$103:$G$107)</f>
        <v>0</v>
      </c>
      <c r="H108" s="926"/>
      <c r="I108" s="157">
        <f ca="1">IF($H$103="No ▲",1,0)</f>
        <v>0</v>
      </c>
      <c r="R108" s="739"/>
    </row>
    <row r="109" spans="2:18" s="25" customFormat="1" ht="30.75" customHeight="1">
      <c r="B109" s="858"/>
      <c r="C109" s="860" t="s">
        <v>203</v>
      </c>
      <c r="D109" s="452" t="s">
        <v>239</v>
      </c>
      <c r="E109" s="453">
        <f t="shared" ca="1" si="51"/>
        <v>0.78</v>
      </c>
      <c r="F109" s="453">
        <f t="shared" ca="1" si="52"/>
        <v>0.85825444328400002</v>
      </c>
      <c r="G109" s="453">
        <f ca="1">$F$109-$E$109</f>
        <v>7.8254443283999997E-2</v>
      </c>
      <c r="H109" s="924" t="str">
        <f ca="1">IF(G112&gt;=0,"Yes ✓",IF(E114&gt;=0,"Yes ✓","No ▲"))</f>
        <v>Yes ✓</v>
      </c>
      <c r="I109" s="157"/>
      <c r="R109" s="739"/>
    </row>
    <row r="110" spans="2:18" s="25" customFormat="1" ht="30.75" customHeight="1">
      <c r="B110" s="858"/>
      <c r="C110" s="861"/>
      <c r="D110" s="432" t="s">
        <v>240</v>
      </c>
      <c r="E110" s="433">
        <f t="shared" ca="1" si="51"/>
        <v>0</v>
      </c>
      <c r="F110" s="433">
        <f t="shared" ca="1" si="52"/>
        <v>0</v>
      </c>
      <c r="G110" s="433">
        <f ca="1">$F$110-$E$110</f>
        <v>0</v>
      </c>
      <c r="H110" s="925"/>
      <c r="I110" s="157"/>
      <c r="R110" s="739"/>
    </row>
    <row r="111" spans="2:18" s="25" customFormat="1" ht="30.75" customHeight="1">
      <c r="B111" s="858"/>
      <c r="C111" s="861"/>
      <c r="D111" s="432" t="s">
        <v>241</v>
      </c>
      <c r="E111" s="433">
        <f t="shared" ca="1" si="51"/>
        <v>0</v>
      </c>
      <c r="F111" s="433">
        <f t="shared" ca="1" si="52"/>
        <v>0</v>
      </c>
      <c r="G111" s="433">
        <f ca="1">$F$111-$E$111</f>
        <v>0</v>
      </c>
      <c r="H111" s="925"/>
      <c r="I111" s="157"/>
      <c r="R111" s="739"/>
    </row>
    <row r="112" spans="2:18" s="25" customFormat="1" ht="30.75" customHeight="1" thickBot="1">
      <c r="B112" s="858"/>
      <c r="C112" s="862"/>
      <c r="D112" s="444" t="s">
        <v>238</v>
      </c>
      <c r="E112" s="445">
        <f ca="1">SUM($E$109:$E$111)</f>
        <v>0.78</v>
      </c>
      <c r="F112" s="445">
        <f ca="1">SUM($F$109:$F$111)</f>
        <v>0.85825444328400002</v>
      </c>
      <c r="G112" s="445">
        <f ca="1">SUM($G$109:$G$111)</f>
        <v>7.8254443283999997E-2</v>
      </c>
      <c r="H112" s="926"/>
      <c r="I112" s="157">
        <f ca="1">IF($H$109="No ▲",1,0)</f>
        <v>0</v>
      </c>
      <c r="R112" s="739"/>
    </row>
    <row r="113" spans="2:18" s="25" customFormat="1" ht="30.75" customHeight="1" thickBot="1">
      <c r="B113" s="859"/>
      <c r="C113" s="446" t="s">
        <v>242</v>
      </c>
      <c r="D113" s="454" t="s">
        <v>243</v>
      </c>
      <c r="E113" s="455">
        <f t="shared" ca="1" si="51"/>
        <v>0</v>
      </c>
      <c r="F113" s="455">
        <f t="shared" ca="1" si="52"/>
        <v>0</v>
      </c>
      <c r="G113" s="455">
        <f ca="1">$F$113-$E$113</f>
        <v>0</v>
      </c>
      <c r="H113" s="449" t="str">
        <f ca="1">IF(G113&gt;=0,"Yes✓",IF(F114&gt;=0,"Yes ✓","No ▲"))</f>
        <v>Yes✓</v>
      </c>
      <c r="I113" s="157">
        <f ca="1">IF($H$113="No ▲",1,0)</f>
        <v>0</v>
      </c>
      <c r="R113" s="739"/>
    </row>
    <row r="114" spans="2:18" s="25" customFormat="1" ht="15.75" thickBot="1">
      <c r="E114" s="457">
        <f ca="1">G108+G112</f>
        <v>7.8254443283999997E-2</v>
      </c>
      <c r="F114" s="434">
        <f ca="1">IF(G108&lt;0,0,($G$108+$G$112+$G$113))</f>
        <v>7.8254443283999997E-2</v>
      </c>
      <c r="I114" s="430"/>
      <c r="R114" s="739"/>
    </row>
    <row r="115" spans="2:18" s="25" customFormat="1" ht="24.75" customHeight="1">
      <c r="B115" s="863" t="s">
        <v>244</v>
      </c>
      <c r="C115" s="636"/>
      <c r="D115" s="636"/>
      <c r="E115" s="636"/>
      <c r="F115" s="437">
        <f ca="1">$G$108</f>
        <v>0</v>
      </c>
      <c r="G115" s="434">
        <f ca="1">IF($G$108&lt;=0,0,($G$108+$G$112))</f>
        <v>0</v>
      </c>
      <c r="I115" s="430"/>
      <c r="R115" s="739"/>
    </row>
    <row r="116" spans="2:18" s="25" customFormat="1" ht="21.75" customHeight="1">
      <c r="B116" s="854" t="s">
        <v>245</v>
      </c>
      <c r="C116" s="855"/>
      <c r="D116" s="855"/>
      <c r="E116" s="855"/>
      <c r="F116" s="439">
        <f ca="1">IF($G$108&gt;0,($G$112+$G$108),$G$112)</f>
        <v>7.8254443283999997E-2</v>
      </c>
      <c r="G116" s="434">
        <f ca="1">IF($G$108&lt;=0,0,($G$108+$G$112+$G$113))</f>
        <v>0</v>
      </c>
      <c r="R116" s="739"/>
    </row>
    <row r="117" spans="2:18" s="25" customFormat="1" ht="24" customHeight="1" thickBot="1">
      <c r="B117" s="856" t="s">
        <v>246</v>
      </c>
      <c r="C117" s="634"/>
      <c r="D117" s="634"/>
      <c r="E117" s="634"/>
      <c r="F117" s="438">
        <f ca="1">IF($F$116&gt;0,($F$116+$G$113),$G$113)</f>
        <v>7.8254443283999997E-2</v>
      </c>
      <c r="G117" s="434"/>
      <c r="R117" s="739"/>
    </row>
    <row r="118" spans="2:18" s="25" customFormat="1">
      <c r="G118" s="434"/>
      <c r="R118" s="739"/>
    </row>
    <row r="119" spans="2:18" s="25" customFormat="1">
      <c r="R119" s="739"/>
    </row>
    <row r="120" spans="2:18" s="25" customFormat="1">
      <c r="R120" s="739"/>
    </row>
    <row r="121" spans="2:18" s="25" customFormat="1">
      <c r="R121" s="739"/>
    </row>
    <row r="122" spans="2:18" s="25" customFormat="1">
      <c r="R122" s="739"/>
    </row>
    <row r="123" spans="2:18" s="25" customFormat="1">
      <c r="R123" s="739"/>
    </row>
    <row r="124" spans="2:18" s="25" customFormat="1">
      <c r="R124" s="739"/>
    </row>
    <row r="125" spans="2:18" s="25" customFormat="1">
      <c r="R125" s="739"/>
    </row>
    <row r="126" spans="2:18" s="25" customFormat="1">
      <c r="R126" s="739"/>
    </row>
    <row r="127" spans="2:18" s="25" customFormat="1">
      <c r="R127" s="739"/>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election activeCell="I11" sqref="I11"/>
    </sheetView>
  </sheetViews>
  <sheetFormatPr defaultColWidth="0" defaultRowHeight="15" zeroHeight="1"/>
  <cols>
    <col min="1" max="1" width="4.42578125" customWidth="1"/>
    <col min="2" max="2" width="14.85546875" customWidth="1"/>
    <col min="3" max="3" width="24.42578125" customWidth="1"/>
    <col min="4" max="4" width="40.140625" customWidth="1"/>
    <col min="5" max="5" width="27" customWidth="1"/>
    <col min="6" max="6" width="20.42578125" customWidth="1"/>
    <col min="7" max="7" width="33.140625" customWidth="1"/>
    <col min="8" max="8" width="35.140625" customWidth="1"/>
    <col min="9" max="9" width="14.42578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14.42578125" customWidth="1"/>
    <col min="21" max="21" width="14.85546875" customWidth="1"/>
    <col min="22" max="22" width="20.7109375" bestFit="1" customWidth="1"/>
    <col min="23" max="23" width="23.7109375" customWidth="1"/>
    <col min="24" max="24" width="16.85546875" bestFit="1" customWidth="1"/>
    <col min="25" max="25" width="14" hidden="1" customWidth="1"/>
    <col min="26" max="26" width="21.28515625" hidden="1" customWidth="1"/>
    <col min="27" max="27" width="14" hidden="1"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6" width="23.42578125" style="469" customWidth="1"/>
    <col min="37" max="37" width="4.42578125" style="469" hidden="1" customWidth="1"/>
    <col min="38" max="38" width="5.28515625" style="469" hidden="1" customWidth="1"/>
    <col min="39" max="39" width="6.7109375" style="469" hidden="1" customWidth="1"/>
    <col min="40" max="40" width="12.28515625" style="469"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37.42578125" customWidth="1"/>
    <col min="50" max="50" width="68.28515625" customWidth="1"/>
    <col min="51" max="51" width="26.42578125" customWidth="1"/>
    <col min="52" max="52" width="24.42578125" customWidth="1"/>
    <col min="53" max="81" width="8.85546875" customWidth="1"/>
    <col min="82" max="16384" width="8.85546875" hidden="1"/>
  </cols>
  <sheetData>
    <row r="1" spans="1:44" s="25" customFormat="1" ht="15.75" customHeight="1" thickBot="1">
      <c r="I1" s="52"/>
      <c r="J1" s="52"/>
      <c r="K1" s="52"/>
      <c r="L1" s="52"/>
      <c r="M1" s="52"/>
      <c r="N1" s="52"/>
      <c r="O1" s="154" t="s">
        <v>54</v>
      </c>
      <c r="P1" s="277">
        <f>IFERROR(SUM(AE11:AE30), "Error ▲")</f>
        <v>0</v>
      </c>
      <c r="R1" s="739" t="s">
        <v>55</v>
      </c>
      <c r="T1" s="26"/>
      <c r="AJ1" s="157"/>
      <c r="AK1" s="157"/>
      <c r="AL1" s="157"/>
      <c r="AM1" s="157"/>
      <c r="AN1" s="157"/>
    </row>
    <row r="2" spans="1:44" s="25" customFormat="1" ht="20.100000000000001" customHeight="1">
      <c r="B2" s="80" t="s">
        <v>56</v>
      </c>
      <c r="C2" s="702" t="str">
        <f>IF('2. Site Details'!D4="","Enter site name on 2. Site Details",'2. Site Details'!D4)</f>
        <v>Jolesfield Cottages</v>
      </c>
      <c r="D2" s="703"/>
      <c r="F2" s="768" t="s">
        <v>247</v>
      </c>
      <c r="G2" s="769"/>
      <c r="H2" s="770"/>
      <c r="I2" s="81"/>
      <c r="J2" s="782" t="str" cm="1">
        <f t="array" aca="1" ref="J2" ca="1">IFERROR(IF(OR((ISNUMBER(SEARCH("▲",A7:Q101)))),"Input Errors Present On Sheet - Red Cells Or ▲ Highlight Errors","All Key Rules Satisfied ✓ "),"Technical Errors On Sheet ▲")</f>
        <v xml:space="preserve">All Key Rules Satisfied ✓ </v>
      </c>
      <c r="K2" s="782"/>
      <c r="L2" s="782"/>
      <c r="M2" s="782"/>
      <c r="N2" s="81"/>
      <c r="O2" s="83" t="s">
        <v>58</v>
      </c>
      <c r="P2" s="277">
        <f>IFERROR(N31, "Error ▲")</f>
        <v>0</v>
      </c>
      <c r="R2" s="739"/>
      <c r="T2" s="26"/>
      <c r="AJ2" s="157"/>
      <c r="AK2" s="157"/>
      <c r="AL2" s="157"/>
      <c r="AM2" s="157"/>
      <c r="AN2" s="157"/>
    </row>
    <row r="3" spans="1:44" s="25" customFormat="1" ht="20.100000000000001" customHeight="1" thickBot="1">
      <c r="B3" s="82" t="s">
        <v>13</v>
      </c>
      <c r="C3" s="704" t="s">
        <v>248</v>
      </c>
      <c r="D3" s="705"/>
      <c r="F3" s="771"/>
      <c r="G3" s="772"/>
      <c r="H3" s="773"/>
      <c r="I3" s="81"/>
      <c r="J3" s="782"/>
      <c r="K3" s="782"/>
      <c r="L3" s="782"/>
      <c r="M3" s="782"/>
      <c r="N3" s="81"/>
      <c r="O3" s="83" t="s">
        <v>60</v>
      </c>
      <c r="P3" s="277">
        <f>IFERROR(L59, "Error ▲")</f>
        <v>0</v>
      </c>
      <c r="R3" s="739"/>
      <c r="T3" s="26"/>
      <c r="AJ3" s="157"/>
      <c r="AK3" s="157"/>
      <c r="AL3" s="157"/>
      <c r="AM3" s="157"/>
      <c r="AN3" s="157"/>
    </row>
    <row r="4" spans="1:44" s="25" customFormat="1" ht="20.100000000000001" customHeight="1">
      <c r="B4" s="84"/>
      <c r="C4" s="84"/>
      <c r="D4" s="84"/>
      <c r="F4" s="771"/>
      <c r="G4" s="772"/>
      <c r="H4" s="773"/>
      <c r="I4" s="81"/>
      <c r="J4" s="782"/>
      <c r="K4" s="782"/>
      <c r="L4" s="782"/>
      <c r="M4" s="782"/>
      <c r="N4" s="81"/>
      <c r="O4" s="83" t="s">
        <v>61</v>
      </c>
      <c r="P4" s="277">
        <f>IFERROR(L86, "Error ▲")</f>
        <v>0</v>
      </c>
      <c r="R4" s="739"/>
      <c r="T4" s="26"/>
      <c r="AJ4" s="157"/>
      <c r="AK4" s="157"/>
      <c r="AL4" s="157"/>
      <c r="AM4" s="157"/>
      <c r="AN4" s="157"/>
    </row>
    <row r="5" spans="1:44" s="25" customFormat="1" ht="20.100000000000001" customHeight="1" thickBot="1">
      <c r="A5" s="85"/>
      <c r="F5" s="771"/>
      <c r="G5" s="772"/>
      <c r="H5" s="773"/>
      <c r="I5" s="81"/>
      <c r="J5" s="782"/>
      <c r="K5" s="782"/>
      <c r="L5" s="782"/>
      <c r="M5" s="782"/>
      <c r="N5" s="81"/>
      <c r="O5" s="86" t="s">
        <v>62</v>
      </c>
      <c r="P5" s="278">
        <f>IFERROR(P1+L59+L86-L31, "Error ▲")</f>
        <v>0</v>
      </c>
      <c r="R5" s="739"/>
      <c r="T5" s="26"/>
      <c r="AJ5" s="157"/>
      <c r="AK5" s="157"/>
      <c r="AL5" s="157"/>
      <c r="AM5" s="157"/>
      <c r="AN5" s="157"/>
    </row>
    <row r="6" spans="1:44" s="25" customFormat="1" ht="13.35" customHeight="1" thickBot="1">
      <c r="A6" s="85"/>
      <c r="F6" s="774"/>
      <c r="G6" s="775"/>
      <c r="H6" s="776"/>
      <c r="I6" s="52"/>
      <c r="J6" s="52"/>
      <c r="K6" s="26"/>
      <c r="L6" s="52"/>
      <c r="M6" s="52"/>
      <c r="N6" s="52"/>
      <c r="O6" s="87"/>
      <c r="P6" s="26"/>
      <c r="R6" s="739"/>
      <c r="T6" s="26"/>
      <c r="AJ6" s="157"/>
      <c r="AK6" s="157"/>
      <c r="AL6" s="157"/>
      <c r="AM6" s="157"/>
      <c r="AN6" s="157"/>
      <c r="AR6" s="157"/>
    </row>
    <row r="7" spans="1:44" s="25" customFormat="1" ht="19.350000000000001" customHeight="1">
      <c r="B7" s="57" t="s">
        <v>63</v>
      </c>
      <c r="D7" s="88"/>
      <c r="H7" s="26"/>
      <c r="K7" s="26"/>
      <c r="L7" s="496"/>
      <c r="M7" s="30"/>
      <c r="N7" s="30"/>
      <c r="R7" s="739"/>
      <c r="T7" s="26"/>
      <c r="AJ7" s="157"/>
      <c r="AK7" s="157"/>
      <c r="AL7" s="157"/>
      <c r="AM7" s="157"/>
      <c r="AN7" s="157"/>
      <c r="AR7" s="157"/>
    </row>
    <row r="8" spans="1:44" s="25" customFormat="1" ht="11.1" customHeight="1" thickBot="1">
      <c r="A8" s="89"/>
      <c r="R8" s="739"/>
      <c r="AJ8" s="157"/>
      <c r="AK8" s="157"/>
      <c r="AL8" s="157"/>
      <c r="AM8" s="157"/>
      <c r="AN8" s="157"/>
      <c r="AR8" s="157"/>
    </row>
    <row r="9" spans="1:44" s="25" customFormat="1" ht="29.45" customHeight="1" thickBot="1">
      <c r="A9" s="89"/>
      <c r="B9" s="717" t="s">
        <v>49</v>
      </c>
      <c r="C9" s="706" t="s">
        <v>64</v>
      </c>
      <c r="D9" s="716"/>
      <c r="E9" s="708"/>
      <c r="F9" s="652" t="s">
        <v>65</v>
      </c>
      <c r="G9" s="780"/>
      <c r="H9" s="653"/>
      <c r="I9" s="706" t="s">
        <v>249</v>
      </c>
      <c r="J9" s="716"/>
      <c r="K9" s="708"/>
      <c r="L9" s="794" t="s">
        <v>67</v>
      </c>
      <c r="M9" s="795"/>
      <c r="N9" s="796"/>
      <c r="O9" s="794" t="s">
        <v>68</v>
      </c>
      <c r="P9" s="796"/>
      <c r="R9" s="739"/>
      <c r="T9" s="682" t="s">
        <v>69</v>
      </c>
      <c r="U9" s="683"/>
      <c r="V9" s="684"/>
      <c r="W9" s="939" t="s">
        <v>70</v>
      </c>
      <c r="X9" s="940"/>
      <c r="Y9" s="798"/>
      <c r="Z9" s="798"/>
      <c r="AA9" s="798"/>
      <c r="AB9" s="939" t="s">
        <v>71</v>
      </c>
      <c r="AC9" s="941"/>
      <c r="AD9" s="940"/>
      <c r="AE9" s="682" t="s">
        <v>72</v>
      </c>
      <c r="AF9" s="683"/>
      <c r="AG9" s="684"/>
      <c r="AH9" s="682" t="s">
        <v>73</v>
      </c>
      <c r="AI9" s="874" t="s">
        <v>74</v>
      </c>
      <c r="AJ9" s="927" t="s">
        <v>250</v>
      </c>
      <c r="AK9" s="157"/>
      <c r="AL9" s="157"/>
      <c r="AM9" s="157"/>
      <c r="AN9" s="431"/>
      <c r="AR9" s="157"/>
    </row>
    <row r="10" spans="1:44" s="25" customFormat="1" ht="32.25" thickBot="1">
      <c r="A10" s="89"/>
      <c r="B10" s="665"/>
      <c r="C10" s="86" t="s">
        <v>75</v>
      </c>
      <c r="D10" s="894" t="s">
        <v>76</v>
      </c>
      <c r="E10" s="895"/>
      <c r="F10" s="934"/>
      <c r="G10" s="935"/>
      <c r="H10" s="936"/>
      <c r="I10" s="86" t="s">
        <v>221</v>
      </c>
      <c r="J10" s="197" t="s">
        <v>222</v>
      </c>
      <c r="K10" s="90" t="s">
        <v>223</v>
      </c>
      <c r="L10" s="86" t="s">
        <v>224</v>
      </c>
      <c r="M10" s="197" t="s">
        <v>225</v>
      </c>
      <c r="N10" s="90" t="s">
        <v>82</v>
      </c>
      <c r="O10" s="86" t="s">
        <v>83</v>
      </c>
      <c r="P10" s="90" t="s">
        <v>84</v>
      </c>
      <c r="R10" s="739"/>
      <c r="T10" s="783" t="s">
        <v>85</v>
      </c>
      <c r="U10" s="784"/>
      <c r="V10" s="92" t="s">
        <v>86</v>
      </c>
      <c r="W10" s="373" t="s">
        <v>87</v>
      </c>
      <c r="X10" s="369" t="s">
        <v>86</v>
      </c>
      <c r="Y10" s="371"/>
      <c r="Z10" s="365"/>
      <c r="AA10" s="365"/>
      <c r="AB10" s="354" t="s">
        <v>71</v>
      </c>
      <c r="AC10" s="354" t="s">
        <v>71</v>
      </c>
      <c r="AD10" s="369" t="s">
        <v>88</v>
      </c>
      <c r="AE10" s="91" t="s">
        <v>89</v>
      </c>
      <c r="AF10" s="49" t="s">
        <v>90</v>
      </c>
      <c r="AG10" s="92" t="s">
        <v>91</v>
      </c>
      <c r="AH10" s="783"/>
      <c r="AI10" s="938"/>
      <c r="AJ10" s="927"/>
      <c r="AK10" s="157"/>
      <c r="AL10" s="157"/>
      <c r="AM10" s="157"/>
      <c r="AO10" s="431"/>
      <c r="AR10" s="157" t="s">
        <v>251</v>
      </c>
    </row>
    <row r="11" spans="1:44" s="25" customFormat="1" ht="15.75">
      <c r="A11" s="89"/>
      <c r="B11" s="270">
        <v>1</v>
      </c>
      <c r="C11" s="555" t="s">
        <v>252</v>
      </c>
      <c r="D11" s="824"/>
      <c r="E11" s="824"/>
      <c r="F11" s="937"/>
      <c r="G11" s="937"/>
      <c r="H11" s="937"/>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39"/>
      <c r="T11" s="785" t="str">
        <f>IF(D11="","",VLOOKUP(D11,'9. All Habitats + Multipliers'!$C$4:$K$102,5,FALSE))</f>
        <v/>
      </c>
      <c r="U11" s="786"/>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75">
      <c r="B12" s="264">
        <v>2</v>
      </c>
      <c r="C12" s="556" t="s">
        <v>252</v>
      </c>
      <c r="D12" s="824"/>
      <c r="E12" s="824"/>
      <c r="F12" s="937"/>
      <c r="G12" s="937"/>
      <c r="H12" s="937"/>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39"/>
      <c r="T12" s="785" t="str">
        <f>IF(D12="","",VLOOKUP(D12,'9. All Habitats + Multipliers'!$C$4:$K$102,5,FALSE))</f>
        <v/>
      </c>
      <c r="U12" s="786"/>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75">
      <c r="B13" s="264">
        <v>3</v>
      </c>
      <c r="C13" s="556" t="s">
        <v>252</v>
      </c>
      <c r="D13" s="824"/>
      <c r="E13" s="824"/>
      <c r="F13" s="937"/>
      <c r="G13" s="937"/>
      <c r="H13" s="937"/>
      <c r="I13" s="471"/>
      <c r="J13" s="306"/>
      <c r="K13" s="307"/>
      <c r="L13" s="466" t="str">
        <f t="shared" si="0"/>
        <v/>
      </c>
      <c r="M13" s="301" t="str">
        <f t="shared" ref="M13:M29" si="6">IF(I13="","",IF(J13+K13&gt;I13,"Length Error ▲",I13-J13-K13))</f>
        <v/>
      </c>
      <c r="N13" s="466" t="str">
        <f t="shared" si="1"/>
        <v/>
      </c>
      <c r="O13" s="68"/>
      <c r="P13" s="3"/>
      <c r="R13" s="739"/>
      <c r="T13" s="785" t="str">
        <f>IF(D13="","",VLOOKUP(D13,'9. All Habitats + Multipliers'!$C$4:$K$102,5,FALSE))</f>
        <v/>
      </c>
      <c r="U13" s="786"/>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75">
      <c r="B14" s="264">
        <v>4</v>
      </c>
      <c r="C14" s="556" t="s">
        <v>252</v>
      </c>
      <c r="D14" s="824"/>
      <c r="E14" s="824"/>
      <c r="F14" s="937"/>
      <c r="G14" s="937"/>
      <c r="H14" s="937"/>
      <c r="I14" s="471"/>
      <c r="J14" s="306"/>
      <c r="K14" s="307"/>
      <c r="L14" s="466" t="str">
        <f t="shared" si="0"/>
        <v/>
      </c>
      <c r="M14" s="301" t="str">
        <f t="shared" si="6"/>
        <v/>
      </c>
      <c r="N14" s="466" t="str">
        <f t="shared" si="1"/>
        <v/>
      </c>
      <c r="O14" s="68"/>
      <c r="P14" s="3"/>
      <c r="R14" s="739"/>
      <c r="T14" s="785" t="str">
        <f>IF(D14="","",VLOOKUP(D14,'9. All Habitats + Multipliers'!$C$4:$K$102,5,FALSE))</f>
        <v/>
      </c>
      <c r="U14" s="786"/>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75">
      <c r="B15" s="264">
        <v>5</v>
      </c>
      <c r="C15" s="556" t="s">
        <v>252</v>
      </c>
      <c r="D15" s="824"/>
      <c r="E15" s="824"/>
      <c r="F15" s="937"/>
      <c r="G15" s="937"/>
      <c r="H15" s="937"/>
      <c r="I15" s="471"/>
      <c r="J15" s="306"/>
      <c r="K15" s="307"/>
      <c r="L15" s="466" t="str">
        <f t="shared" si="0"/>
        <v/>
      </c>
      <c r="M15" s="301" t="str">
        <f t="shared" si="6"/>
        <v/>
      </c>
      <c r="N15" s="466" t="str">
        <f t="shared" si="1"/>
        <v/>
      </c>
      <c r="O15" s="68"/>
      <c r="P15" s="3"/>
      <c r="R15" s="739"/>
      <c r="T15" s="785" t="str">
        <f>IF(D15="","",VLOOKUP(D15,'9. All Habitats + Multipliers'!$C$4:$K$102,5,FALSE))</f>
        <v/>
      </c>
      <c r="U15" s="786"/>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75">
      <c r="B16" s="264">
        <v>6</v>
      </c>
      <c r="C16" s="556" t="s">
        <v>252</v>
      </c>
      <c r="D16" s="824"/>
      <c r="E16" s="824"/>
      <c r="F16" s="937"/>
      <c r="G16" s="937"/>
      <c r="H16" s="937"/>
      <c r="I16" s="471"/>
      <c r="J16" s="306"/>
      <c r="K16" s="307"/>
      <c r="L16" s="466" t="str">
        <f t="shared" si="0"/>
        <v/>
      </c>
      <c r="M16" s="301" t="str">
        <f t="shared" si="6"/>
        <v/>
      </c>
      <c r="N16" s="466" t="str">
        <f t="shared" si="1"/>
        <v/>
      </c>
      <c r="O16" s="68"/>
      <c r="P16" s="3"/>
      <c r="R16" s="739"/>
      <c r="T16" s="785" t="str">
        <f>IF(D16="","",VLOOKUP(D16,'9. All Habitats + Multipliers'!$C$4:$K$102,5,FALSE))</f>
        <v/>
      </c>
      <c r="U16" s="786"/>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75">
      <c r="B17" s="264">
        <v>7</v>
      </c>
      <c r="C17" s="556" t="s">
        <v>252</v>
      </c>
      <c r="D17" s="824"/>
      <c r="E17" s="824"/>
      <c r="F17" s="937"/>
      <c r="G17" s="937"/>
      <c r="H17" s="937"/>
      <c r="I17" s="471"/>
      <c r="J17" s="306"/>
      <c r="K17" s="307"/>
      <c r="L17" s="466" t="str">
        <f t="shared" si="0"/>
        <v/>
      </c>
      <c r="M17" s="301" t="str">
        <f t="shared" si="6"/>
        <v/>
      </c>
      <c r="N17" s="466" t="str">
        <f t="shared" si="1"/>
        <v/>
      </c>
      <c r="O17" s="68"/>
      <c r="P17" s="3"/>
      <c r="R17" s="739"/>
      <c r="T17" s="785" t="str">
        <f>IF(D17="","",VLOOKUP(D17,'9. All Habitats + Multipliers'!$C$4:$K$102,5,FALSE))</f>
        <v/>
      </c>
      <c r="U17" s="786"/>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75">
      <c r="B18" s="264">
        <v>8</v>
      </c>
      <c r="C18" s="556" t="s">
        <v>252</v>
      </c>
      <c r="D18" s="824"/>
      <c r="E18" s="824"/>
      <c r="F18" s="937"/>
      <c r="G18" s="937"/>
      <c r="H18" s="937"/>
      <c r="I18" s="471"/>
      <c r="J18" s="306"/>
      <c r="K18" s="307"/>
      <c r="L18" s="466" t="str">
        <f t="shared" si="0"/>
        <v/>
      </c>
      <c r="M18" s="301" t="str">
        <f t="shared" si="6"/>
        <v/>
      </c>
      <c r="N18" s="466" t="str">
        <f t="shared" si="1"/>
        <v/>
      </c>
      <c r="O18" s="68"/>
      <c r="P18" s="3"/>
      <c r="R18" s="739"/>
      <c r="T18" s="785" t="str">
        <f>IF(D18="","",VLOOKUP(D18,'9. All Habitats + Multipliers'!$C$4:$K$102,5,FALSE))</f>
        <v/>
      </c>
      <c r="U18" s="786"/>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75">
      <c r="B19" s="264">
        <v>9</v>
      </c>
      <c r="C19" s="556" t="s">
        <v>252</v>
      </c>
      <c r="D19" s="824"/>
      <c r="E19" s="824"/>
      <c r="F19" s="937"/>
      <c r="G19" s="937"/>
      <c r="H19" s="937"/>
      <c r="I19" s="471"/>
      <c r="J19" s="306"/>
      <c r="K19" s="307"/>
      <c r="L19" s="466" t="str">
        <f t="shared" si="0"/>
        <v/>
      </c>
      <c r="M19" s="301" t="str">
        <f t="shared" si="6"/>
        <v/>
      </c>
      <c r="N19" s="466" t="str">
        <f t="shared" si="1"/>
        <v/>
      </c>
      <c r="O19" s="68"/>
      <c r="P19" s="3"/>
      <c r="R19" s="739"/>
      <c r="T19" s="785" t="str">
        <f>IF(D19="","",VLOOKUP(D19,'9. All Habitats + Multipliers'!$C$4:$K$102,5,FALSE))</f>
        <v/>
      </c>
      <c r="U19" s="786"/>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75">
      <c r="B20" s="264">
        <v>10</v>
      </c>
      <c r="C20" s="556" t="s">
        <v>252</v>
      </c>
      <c r="D20" s="824"/>
      <c r="E20" s="824"/>
      <c r="F20" s="937"/>
      <c r="G20" s="937"/>
      <c r="H20" s="937"/>
      <c r="I20" s="471"/>
      <c r="J20" s="306"/>
      <c r="K20" s="307"/>
      <c r="L20" s="466" t="str">
        <f t="shared" si="0"/>
        <v/>
      </c>
      <c r="M20" s="301" t="str">
        <f t="shared" si="6"/>
        <v/>
      </c>
      <c r="N20" s="466" t="str">
        <f t="shared" si="1"/>
        <v/>
      </c>
      <c r="O20" s="68"/>
      <c r="P20" s="8"/>
      <c r="R20" s="739"/>
      <c r="T20" s="785" t="str">
        <f>IF(D20="","",VLOOKUP(D20,'9. All Habitats + Multipliers'!$C$4:$K$102,5,FALSE))</f>
        <v/>
      </c>
      <c r="U20" s="786"/>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75">
      <c r="B21" s="264">
        <v>11</v>
      </c>
      <c r="C21" s="556" t="s">
        <v>252</v>
      </c>
      <c r="D21" s="824"/>
      <c r="E21" s="824"/>
      <c r="F21" s="937"/>
      <c r="G21" s="937"/>
      <c r="H21" s="937"/>
      <c r="I21" s="471"/>
      <c r="J21" s="306"/>
      <c r="K21" s="307"/>
      <c r="L21" s="466" t="str">
        <f t="shared" si="0"/>
        <v/>
      </c>
      <c r="M21" s="301" t="str">
        <f t="shared" si="6"/>
        <v/>
      </c>
      <c r="N21" s="466" t="str">
        <f t="shared" si="1"/>
        <v/>
      </c>
      <c r="O21" s="68"/>
      <c r="P21" s="8"/>
      <c r="R21" s="739"/>
      <c r="T21" s="785" t="str">
        <f>IF(D21="","",VLOOKUP(D21,'9. All Habitats + Multipliers'!$C$4:$K$102,5,FALSE))</f>
        <v/>
      </c>
      <c r="U21" s="786"/>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75">
      <c r="B22" s="264">
        <v>12</v>
      </c>
      <c r="C22" s="556" t="s">
        <v>252</v>
      </c>
      <c r="D22" s="824"/>
      <c r="E22" s="824"/>
      <c r="F22" s="937"/>
      <c r="G22" s="937"/>
      <c r="H22" s="937"/>
      <c r="I22" s="471"/>
      <c r="J22" s="306"/>
      <c r="K22" s="307"/>
      <c r="L22" s="466" t="str">
        <f t="shared" si="0"/>
        <v/>
      </c>
      <c r="M22" s="301" t="str">
        <f t="shared" si="6"/>
        <v/>
      </c>
      <c r="N22" s="466" t="str">
        <f t="shared" si="1"/>
        <v/>
      </c>
      <c r="O22" s="68"/>
      <c r="P22" s="8"/>
      <c r="R22" s="739"/>
      <c r="T22" s="785" t="str">
        <f>IF(D22="","",VLOOKUP(D22,'9. All Habitats + Multipliers'!$C$4:$K$102,5,FALSE))</f>
        <v/>
      </c>
      <c r="U22" s="786"/>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75">
      <c r="B23" s="264">
        <v>13</v>
      </c>
      <c r="C23" s="556" t="s">
        <v>252</v>
      </c>
      <c r="D23" s="824"/>
      <c r="E23" s="824"/>
      <c r="F23" s="937"/>
      <c r="G23" s="937"/>
      <c r="H23" s="937"/>
      <c r="I23" s="471"/>
      <c r="J23" s="306"/>
      <c r="K23" s="307"/>
      <c r="L23" s="466" t="str">
        <f t="shared" si="0"/>
        <v/>
      </c>
      <c r="M23" s="301" t="str">
        <f t="shared" si="6"/>
        <v/>
      </c>
      <c r="N23" s="466" t="str">
        <f t="shared" si="1"/>
        <v/>
      </c>
      <c r="O23" s="68"/>
      <c r="P23" s="8"/>
      <c r="R23" s="739"/>
      <c r="T23" s="785" t="str">
        <f>IF(D23="","",VLOOKUP(D23,'9. All Habitats + Multipliers'!$C$4:$K$102,5,FALSE))</f>
        <v/>
      </c>
      <c r="U23" s="786"/>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75">
      <c r="B24" s="264">
        <v>14</v>
      </c>
      <c r="C24" s="556" t="s">
        <v>252</v>
      </c>
      <c r="D24" s="824"/>
      <c r="E24" s="824"/>
      <c r="F24" s="937"/>
      <c r="G24" s="937"/>
      <c r="H24" s="937"/>
      <c r="I24" s="471"/>
      <c r="J24" s="306"/>
      <c r="K24" s="307"/>
      <c r="L24" s="466" t="str">
        <f t="shared" si="0"/>
        <v/>
      </c>
      <c r="M24" s="301" t="str">
        <f t="shared" si="6"/>
        <v/>
      </c>
      <c r="N24" s="466" t="str">
        <f t="shared" si="1"/>
        <v/>
      </c>
      <c r="O24" s="68"/>
      <c r="P24" s="8"/>
      <c r="R24" s="739"/>
      <c r="T24" s="785" t="str">
        <f>IF(D24="","",VLOOKUP(D24,'9. All Habitats + Multipliers'!$C$4:$K$102,5,FALSE))</f>
        <v/>
      </c>
      <c r="U24" s="786"/>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75">
      <c r="B25" s="264">
        <v>15</v>
      </c>
      <c r="C25" s="556" t="s">
        <v>252</v>
      </c>
      <c r="D25" s="824"/>
      <c r="E25" s="824"/>
      <c r="F25" s="937"/>
      <c r="G25" s="937"/>
      <c r="H25" s="937"/>
      <c r="I25" s="471"/>
      <c r="J25" s="306"/>
      <c r="K25" s="307"/>
      <c r="L25" s="466" t="str">
        <f t="shared" si="0"/>
        <v/>
      </c>
      <c r="M25" s="301" t="str">
        <f t="shared" si="6"/>
        <v/>
      </c>
      <c r="N25" s="466" t="str">
        <f t="shared" si="1"/>
        <v/>
      </c>
      <c r="O25" s="68"/>
      <c r="P25" s="8"/>
      <c r="R25" s="739"/>
      <c r="T25" s="785" t="str">
        <f>IF(D25="","",VLOOKUP(D25,'9. All Habitats + Multipliers'!$C$4:$K$102,5,FALSE))</f>
        <v/>
      </c>
      <c r="U25" s="786"/>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75">
      <c r="B26" s="264">
        <v>16</v>
      </c>
      <c r="C26" s="556" t="s">
        <v>252</v>
      </c>
      <c r="D26" s="824"/>
      <c r="E26" s="824"/>
      <c r="F26" s="937"/>
      <c r="G26" s="937"/>
      <c r="H26" s="937"/>
      <c r="I26" s="471"/>
      <c r="J26" s="306"/>
      <c r="K26" s="307"/>
      <c r="L26" s="466" t="str">
        <f t="shared" si="0"/>
        <v/>
      </c>
      <c r="M26" s="301" t="str">
        <f t="shared" si="6"/>
        <v/>
      </c>
      <c r="N26" s="466" t="str">
        <f t="shared" si="1"/>
        <v/>
      </c>
      <c r="O26" s="68"/>
      <c r="P26" s="8"/>
      <c r="R26" s="739"/>
      <c r="T26" s="785" t="str">
        <f>IF(D26="","",VLOOKUP(D26,'9. All Habitats + Multipliers'!$C$4:$K$102,5,FALSE))</f>
        <v/>
      </c>
      <c r="U26" s="786"/>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75">
      <c r="B27" s="264">
        <v>17</v>
      </c>
      <c r="C27" s="556" t="s">
        <v>252</v>
      </c>
      <c r="D27" s="824"/>
      <c r="E27" s="824"/>
      <c r="F27" s="937"/>
      <c r="G27" s="937"/>
      <c r="H27" s="937"/>
      <c r="I27" s="471"/>
      <c r="J27" s="306"/>
      <c r="K27" s="307"/>
      <c r="L27" s="466" t="str">
        <f t="shared" si="0"/>
        <v/>
      </c>
      <c r="M27" s="301" t="str">
        <f t="shared" si="6"/>
        <v/>
      </c>
      <c r="N27" s="466" t="str">
        <f t="shared" si="1"/>
        <v/>
      </c>
      <c r="O27" s="68"/>
      <c r="P27" s="8"/>
      <c r="R27" s="739"/>
      <c r="T27" s="785" t="str">
        <f>IF(D27="","",VLOOKUP(D27,'9. All Habitats + Multipliers'!$C$4:$K$102,5,FALSE))</f>
        <v/>
      </c>
      <c r="U27" s="786"/>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75">
      <c r="B28" s="264">
        <v>18</v>
      </c>
      <c r="C28" s="556" t="s">
        <v>252</v>
      </c>
      <c r="D28" s="824"/>
      <c r="E28" s="824"/>
      <c r="F28" s="937"/>
      <c r="G28" s="937"/>
      <c r="H28" s="937"/>
      <c r="I28" s="471"/>
      <c r="J28" s="306"/>
      <c r="K28" s="307"/>
      <c r="L28" s="466" t="str">
        <f t="shared" si="0"/>
        <v/>
      </c>
      <c r="M28" s="301" t="str">
        <f t="shared" si="6"/>
        <v/>
      </c>
      <c r="N28" s="466" t="str">
        <f t="shared" si="1"/>
        <v/>
      </c>
      <c r="O28" s="68"/>
      <c r="P28" s="8"/>
      <c r="R28" s="739"/>
      <c r="T28" s="785" t="str">
        <f>IF(D28="","",VLOOKUP(D28,'9. All Habitats + Multipliers'!$C$4:$K$102,5,FALSE))</f>
        <v/>
      </c>
      <c r="U28" s="786"/>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75">
      <c r="B29" s="264">
        <v>19</v>
      </c>
      <c r="C29" s="556" t="s">
        <v>252</v>
      </c>
      <c r="D29" s="824"/>
      <c r="E29" s="824"/>
      <c r="F29" s="937"/>
      <c r="G29" s="937"/>
      <c r="H29" s="937"/>
      <c r="I29" s="471"/>
      <c r="J29" s="306"/>
      <c r="K29" s="307"/>
      <c r="L29" s="466" t="str">
        <f t="shared" si="0"/>
        <v/>
      </c>
      <c r="M29" s="301" t="str">
        <f t="shared" si="6"/>
        <v/>
      </c>
      <c r="N29" s="466" t="str">
        <f t="shared" si="1"/>
        <v/>
      </c>
      <c r="O29" s="68"/>
      <c r="P29" s="8"/>
      <c r="R29" s="739"/>
      <c r="T29" s="785" t="str">
        <f>IF(D29="","",VLOOKUP(D29,'9. All Habitats + Multipliers'!$C$4:$K$102,5,FALSE))</f>
        <v/>
      </c>
      <c r="U29" s="786"/>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252</v>
      </c>
      <c r="D30" s="852"/>
      <c r="E30" s="852"/>
      <c r="F30" s="942"/>
      <c r="G30" s="942"/>
      <c r="H30" s="942"/>
      <c r="I30" s="472"/>
      <c r="J30" s="309"/>
      <c r="K30" s="310"/>
      <c r="L30" s="474" t="str">
        <f t="shared" si="0"/>
        <v/>
      </c>
      <c r="M30" s="315" t="str">
        <f>IF(I30="","",IF(J30+K30&gt;I30,"Length Error ▲",I30-J30-K30))</f>
        <v/>
      </c>
      <c r="N30" s="474" t="str">
        <f t="shared" si="1"/>
        <v/>
      </c>
      <c r="O30" s="70"/>
      <c r="P30" s="4"/>
      <c r="R30" s="739"/>
      <c r="T30" s="840" t="str">
        <f>IF(D30="","",VLOOKUP(D30,'9. All Habitats + Multipliers'!$C$4:$K$102,5,FALSE))</f>
        <v/>
      </c>
      <c r="U30" s="841"/>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227</v>
      </c>
      <c r="I31" s="326">
        <f t="shared" ref="I31:N31" si="8">SUM(I11:I30)</f>
        <v>0</v>
      </c>
      <c r="J31" s="327">
        <f t="shared" si="8"/>
        <v>0</v>
      </c>
      <c r="K31" s="328">
        <f t="shared" si="8"/>
        <v>0</v>
      </c>
      <c r="L31" s="283">
        <f t="shared" si="8"/>
        <v>0</v>
      </c>
      <c r="M31" s="316">
        <f t="shared" si="8"/>
        <v>0</v>
      </c>
      <c r="N31" s="291">
        <f t="shared" si="8"/>
        <v>0</v>
      </c>
      <c r="R31" s="739"/>
      <c r="AJ31" s="157"/>
      <c r="AK31" s="157"/>
      <c r="AL31" s="157"/>
      <c r="AM31" s="157"/>
      <c r="AN31" s="157"/>
      <c r="AR31" s="157"/>
    </row>
    <row r="32" spans="2:44" s="25" customFormat="1">
      <c r="D32" s="89"/>
      <c r="E32" s="103"/>
      <c r="F32" s="103"/>
      <c r="G32" s="103"/>
      <c r="H32" s="289" t="s">
        <v>97</v>
      </c>
      <c r="I32" s="896" t="str">
        <f>IF(I31&lt;J31+K31,"Error - Lengths Retained and Enhanced Exceed Total Length ▲","Lengths Acceptable ✓")</f>
        <v>Lengths Acceptable ✓</v>
      </c>
      <c r="J32" s="896"/>
      <c r="K32" s="896"/>
      <c r="L32" s="896"/>
      <c r="M32" s="896"/>
      <c r="N32" s="897"/>
      <c r="O32" s="157">
        <f>IFERROR(FIND("Error",#REF!),0)</f>
        <v>0</v>
      </c>
      <c r="R32" s="104"/>
      <c r="AJ32" s="157"/>
      <c r="AK32" s="157"/>
      <c r="AL32" s="157"/>
      <c r="AM32" s="157"/>
      <c r="AN32" s="157"/>
      <c r="AR32" s="157"/>
    </row>
    <row r="33" spans="2:44" s="25" customFormat="1" ht="15.75" thickBot="1">
      <c r="D33" s="89"/>
      <c r="E33" s="103"/>
      <c r="F33" s="103"/>
      <c r="G33" s="103"/>
      <c r="H33" s="272" t="s">
        <v>97</v>
      </c>
      <c r="I33" s="966" t="str">
        <f>IF(I31&lt;5000,"Lengths Acceptable ✓",IF(I31&gt;=5000,"Length Exceeds Length Appropriate for Small Sites Metric ▲"))</f>
        <v>Lengths Acceptable ✓</v>
      </c>
      <c r="J33" s="864"/>
      <c r="K33" s="864"/>
      <c r="L33" s="864"/>
      <c r="M33" s="864"/>
      <c r="N33" s="865"/>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739" t="s">
        <v>55</v>
      </c>
      <c r="AJ34" s="157"/>
      <c r="AK34" s="157"/>
      <c r="AL34" s="157"/>
      <c r="AM34" s="157"/>
      <c r="AN34" s="157"/>
      <c r="AR34" s="157"/>
    </row>
    <row r="35" spans="2:44" s="25" customFormat="1" ht="21">
      <c r="B35" s="57" t="s">
        <v>100</v>
      </c>
      <c r="D35" s="88"/>
      <c r="E35" s="103"/>
      <c r="F35" s="103"/>
      <c r="G35" s="103"/>
      <c r="I35" s="26"/>
      <c r="R35" s="739"/>
      <c r="AJ35" s="157"/>
      <c r="AK35" s="157"/>
      <c r="AL35" s="157"/>
      <c r="AM35" s="157"/>
      <c r="AN35" s="157"/>
      <c r="AR35" s="157"/>
    </row>
    <row r="36" spans="2:44" s="25" customFormat="1" ht="15.75" customHeight="1" thickBot="1">
      <c r="R36" s="739"/>
      <c r="AJ36" s="157"/>
      <c r="AK36" s="157"/>
      <c r="AL36" s="157"/>
      <c r="AM36" s="157"/>
      <c r="AN36" s="157"/>
      <c r="AR36" s="157"/>
    </row>
    <row r="37" spans="2:44" s="25" customFormat="1" ht="16.350000000000001" customHeight="1" thickBot="1">
      <c r="B37" s="717" t="s">
        <v>49</v>
      </c>
      <c r="C37" s="716"/>
      <c r="D37" s="766"/>
      <c r="E37" s="706" t="s">
        <v>101</v>
      </c>
      <c r="F37" s="707"/>
      <c r="G37" s="708"/>
      <c r="H37" s="707" t="s">
        <v>102</v>
      </c>
      <c r="I37" s="652" t="s">
        <v>228</v>
      </c>
      <c r="J37" s="780"/>
      <c r="K37" s="780"/>
      <c r="L37" s="706" t="s">
        <v>253</v>
      </c>
      <c r="M37" s="716"/>
      <c r="N37" s="708"/>
      <c r="O37" s="765" t="s">
        <v>68</v>
      </c>
      <c r="P37" s="708"/>
      <c r="R37" s="739"/>
      <c r="T37" s="975" t="s">
        <v>69</v>
      </c>
      <c r="U37" s="976"/>
      <c r="V37" s="977"/>
      <c r="W37" s="939" t="s">
        <v>70</v>
      </c>
      <c r="X37" s="940"/>
      <c r="Y37" s="798"/>
      <c r="Z37" s="798"/>
      <c r="AA37" s="798"/>
      <c r="AB37" s="939" t="s">
        <v>71</v>
      </c>
      <c r="AC37" s="941"/>
      <c r="AD37" s="940"/>
      <c r="AE37" s="971" t="s">
        <v>105</v>
      </c>
      <c r="AF37" s="972"/>
      <c r="AG37" s="971" t="s">
        <v>106</v>
      </c>
      <c r="AH37" s="972"/>
      <c r="AI37" s="928" t="s">
        <v>254</v>
      </c>
      <c r="AJ37" s="157"/>
      <c r="AK37" s="157"/>
      <c r="AL37" s="157"/>
      <c r="AM37" s="157"/>
      <c r="AN37" s="157"/>
      <c r="AR37" s="157"/>
    </row>
    <row r="38" spans="2:44" s="25" customFormat="1" ht="32.25" thickBot="1">
      <c r="B38" s="665"/>
      <c r="C38" s="197" t="s">
        <v>75</v>
      </c>
      <c r="D38" s="198" t="s">
        <v>107</v>
      </c>
      <c r="E38" s="86" t="s">
        <v>108</v>
      </c>
      <c r="F38" s="668" t="s">
        <v>109</v>
      </c>
      <c r="G38" s="677"/>
      <c r="H38" s="666"/>
      <c r="I38" s="654"/>
      <c r="J38" s="781"/>
      <c r="K38" s="781"/>
      <c r="L38" s="893"/>
      <c r="M38" s="894"/>
      <c r="N38" s="895"/>
      <c r="O38" s="196" t="s">
        <v>83</v>
      </c>
      <c r="P38" s="90" t="s">
        <v>84</v>
      </c>
      <c r="R38" s="739"/>
      <c r="T38" s="971" t="s">
        <v>85</v>
      </c>
      <c r="U38" s="978"/>
      <c r="V38" s="526" t="s">
        <v>86</v>
      </c>
      <c r="W38" s="111" t="s">
        <v>87</v>
      </c>
      <c r="X38" s="112" t="s">
        <v>86</v>
      </c>
      <c r="Y38" s="371"/>
      <c r="Z38" s="365"/>
      <c r="AA38" s="527"/>
      <c r="AB38" s="111" t="s">
        <v>71</v>
      </c>
      <c r="AC38" s="500" t="s">
        <v>71</v>
      </c>
      <c r="AD38" s="112" t="s">
        <v>88</v>
      </c>
      <c r="AE38" s="111" t="s">
        <v>110</v>
      </c>
      <c r="AF38" s="112" t="s">
        <v>111</v>
      </c>
      <c r="AG38" s="111" t="s">
        <v>112</v>
      </c>
      <c r="AH38" s="112" t="s">
        <v>113</v>
      </c>
      <c r="AI38" s="929"/>
      <c r="AJ38" s="157"/>
      <c r="AK38" s="157"/>
      <c r="AL38" s="157"/>
      <c r="AM38" s="157"/>
      <c r="AN38" s="157"/>
      <c r="AR38" s="157"/>
    </row>
    <row r="39" spans="2:44" s="25" customFormat="1" ht="15.75">
      <c r="B39" s="270">
        <v>1</v>
      </c>
      <c r="C39" s="555" t="s">
        <v>252</v>
      </c>
      <c r="D39" s="139"/>
      <c r="E39" s="140" t="str">
        <f>IF(D39="","",VLOOKUP(D39,'10. Condition and Temporal'!$B$6:$D$103,3,FALSE))</f>
        <v/>
      </c>
      <c r="F39" s="720"/>
      <c r="G39" s="721"/>
      <c r="H39" s="141"/>
      <c r="I39" s="943"/>
      <c r="J39" s="944"/>
      <c r="K39" s="944"/>
      <c r="L39" s="945" t="str">
        <f>IF(D39="","",IFERROR(IF(I39="","",((I39/1000)*(V39*X39))*(AH39*AF39)*AD39*AI39),"This intervention is not permitted within the SSM ▲"))</f>
        <v/>
      </c>
      <c r="M39" s="946"/>
      <c r="N39" s="947"/>
      <c r="O39" s="217"/>
      <c r="P39" s="142"/>
      <c r="Q39" s="106"/>
      <c r="R39" s="739"/>
      <c r="T39" s="979" t="str">
        <f>IF(D39="","",VLOOKUP(D39,'9. All Habitats + Multipliers'!$C$4:$K$102,5,FALSE))</f>
        <v/>
      </c>
      <c r="U39" s="980"/>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75">
      <c r="B40" s="264">
        <v>2</v>
      </c>
      <c r="C40" s="556" t="s">
        <v>252</v>
      </c>
      <c r="D40" s="73"/>
      <c r="E40" s="105" t="str">
        <f>IF(D40="","",VLOOKUP(D40,'10. Condition and Temporal'!$B$6:$D$103,3,FALSE))</f>
        <v/>
      </c>
      <c r="F40" s="700"/>
      <c r="G40" s="701"/>
      <c r="H40" s="71"/>
      <c r="I40" s="722"/>
      <c r="J40" s="723"/>
      <c r="K40" s="723"/>
      <c r="L40" s="945" t="str">
        <f t="shared" ref="L40:L58" si="9">IF(D40="","",IFERROR(IF(I40="","",((I40/1000)*(V40*X40))*(AH40*AF40)*AD40*AI40),"This intervention is not permitted within the SSM ▲"))</f>
        <v/>
      </c>
      <c r="M40" s="946"/>
      <c r="N40" s="947"/>
      <c r="O40" s="74"/>
      <c r="P40" s="12"/>
      <c r="Q40" s="106"/>
      <c r="R40" s="739"/>
      <c r="T40" s="785" t="str">
        <f>IF(D40="","",VLOOKUP(D40,'9. All Habitats + Multipliers'!$C$4:$K$102,5,FALSE))</f>
        <v/>
      </c>
      <c r="U40" s="786"/>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75">
      <c r="B41" s="264">
        <v>3</v>
      </c>
      <c r="C41" s="556" t="s">
        <v>252</v>
      </c>
      <c r="D41" s="73"/>
      <c r="E41" s="105" t="str">
        <f>IF(D41="","",VLOOKUP(D41,'10. Condition and Temporal'!$B$6:$D$103,3,FALSE))</f>
        <v/>
      </c>
      <c r="F41" s="700"/>
      <c r="G41" s="701"/>
      <c r="H41" s="71"/>
      <c r="I41" s="722"/>
      <c r="J41" s="723"/>
      <c r="K41" s="723"/>
      <c r="L41" s="945" t="str">
        <f t="shared" si="9"/>
        <v/>
      </c>
      <c r="M41" s="946"/>
      <c r="N41" s="947"/>
      <c r="O41" s="74"/>
      <c r="P41" s="12"/>
      <c r="Q41" s="106"/>
      <c r="R41" s="739"/>
      <c r="T41" s="785" t="str">
        <f>IF(D41="","",VLOOKUP(D41,'9. All Habitats + Multipliers'!$C$4:$K$102,5,FALSE))</f>
        <v/>
      </c>
      <c r="U41" s="786"/>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75">
      <c r="B42" s="264">
        <v>4</v>
      </c>
      <c r="C42" s="556" t="s">
        <v>252</v>
      </c>
      <c r="D42" s="73"/>
      <c r="E42" s="105" t="str">
        <f>IF(D42="","",VLOOKUP(D42,'10. Condition and Temporal'!$B$6:$D$103,3,FALSE))</f>
        <v/>
      </c>
      <c r="F42" s="700"/>
      <c r="G42" s="701"/>
      <c r="H42" s="71"/>
      <c r="I42" s="722"/>
      <c r="J42" s="723"/>
      <c r="K42" s="723"/>
      <c r="L42" s="945" t="str">
        <f t="shared" si="9"/>
        <v/>
      </c>
      <c r="M42" s="946"/>
      <c r="N42" s="947"/>
      <c r="O42" s="74"/>
      <c r="P42" s="12"/>
      <c r="Q42" s="106"/>
      <c r="R42" s="739"/>
      <c r="T42" s="785" t="str">
        <f>IF(D42="","",VLOOKUP(D42,'9. All Habitats + Multipliers'!$C$4:$K$102,5,FALSE))</f>
        <v/>
      </c>
      <c r="U42" s="786"/>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75">
      <c r="B43" s="264">
        <v>5</v>
      </c>
      <c r="C43" s="556" t="s">
        <v>252</v>
      </c>
      <c r="D43" s="73"/>
      <c r="E43" s="105" t="str">
        <f>IF(D43="","",VLOOKUP(D43,'10. Condition and Temporal'!$B$6:$D$103,3,FALSE))</f>
        <v/>
      </c>
      <c r="F43" s="700"/>
      <c r="G43" s="701"/>
      <c r="H43" s="71"/>
      <c r="I43" s="722"/>
      <c r="J43" s="723"/>
      <c r="K43" s="723"/>
      <c r="L43" s="945" t="str">
        <f t="shared" si="9"/>
        <v/>
      </c>
      <c r="M43" s="946"/>
      <c r="N43" s="947"/>
      <c r="O43" s="74"/>
      <c r="P43" s="12"/>
      <c r="R43" s="739"/>
      <c r="T43" s="785" t="str">
        <f>IF(D43="","",VLOOKUP(D43,'9. All Habitats + Multipliers'!$C$4:$K$102,5,FALSE))</f>
        <v/>
      </c>
      <c r="U43" s="786"/>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75">
      <c r="B44" s="264">
        <v>6</v>
      </c>
      <c r="C44" s="556" t="s">
        <v>252</v>
      </c>
      <c r="D44" s="73"/>
      <c r="E44" s="105" t="str">
        <f>IF(D44="","",VLOOKUP(D44,'10. Condition and Temporal'!$B$6:$D$103,3,FALSE))</f>
        <v/>
      </c>
      <c r="F44" s="700"/>
      <c r="G44" s="701"/>
      <c r="H44" s="71"/>
      <c r="I44" s="722"/>
      <c r="J44" s="723"/>
      <c r="K44" s="723"/>
      <c r="L44" s="945" t="str">
        <f t="shared" si="9"/>
        <v/>
      </c>
      <c r="M44" s="946"/>
      <c r="N44" s="947"/>
      <c r="O44" s="74"/>
      <c r="P44" s="12"/>
      <c r="R44" s="739"/>
      <c r="T44" s="785" t="str">
        <f>IF(D44="","",VLOOKUP(D44,'9. All Habitats + Multipliers'!$C$4:$K$102,5,FALSE))</f>
        <v/>
      </c>
      <c r="U44" s="786"/>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75">
      <c r="B45" s="264">
        <v>7</v>
      </c>
      <c r="C45" s="556" t="s">
        <v>252</v>
      </c>
      <c r="D45" s="73"/>
      <c r="E45" s="105" t="str">
        <f>IF(D45="","",VLOOKUP(D45,'10. Condition and Temporal'!$B$6:$D$103,3,FALSE))</f>
        <v/>
      </c>
      <c r="F45" s="700"/>
      <c r="G45" s="701"/>
      <c r="H45" s="71"/>
      <c r="I45" s="722"/>
      <c r="J45" s="723"/>
      <c r="K45" s="723"/>
      <c r="L45" s="945" t="str">
        <f t="shared" si="9"/>
        <v/>
      </c>
      <c r="M45" s="946"/>
      <c r="N45" s="947"/>
      <c r="O45" s="74"/>
      <c r="P45" s="12"/>
      <c r="R45" s="739"/>
      <c r="T45" s="785" t="str">
        <f>IF(D45="","",VLOOKUP(D45,'9. All Habitats + Multipliers'!$C$4:$K$102,5,FALSE))</f>
        <v/>
      </c>
      <c r="U45" s="786"/>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75">
      <c r="B46" s="264">
        <v>8</v>
      </c>
      <c r="C46" s="556" t="s">
        <v>252</v>
      </c>
      <c r="D46" s="73"/>
      <c r="E46" s="105" t="str">
        <f>IF(D46="","",VLOOKUP(D46,'10. Condition and Temporal'!$B$6:$D$103,3,FALSE))</f>
        <v/>
      </c>
      <c r="F46" s="700"/>
      <c r="G46" s="701"/>
      <c r="H46" s="71"/>
      <c r="I46" s="722"/>
      <c r="J46" s="723"/>
      <c r="K46" s="723"/>
      <c r="L46" s="945" t="str">
        <f t="shared" si="9"/>
        <v/>
      </c>
      <c r="M46" s="946"/>
      <c r="N46" s="947"/>
      <c r="O46" s="74"/>
      <c r="P46" s="12"/>
      <c r="R46" s="739"/>
      <c r="T46" s="785" t="str">
        <f>IF(D46="","",VLOOKUP(D46,'9. All Habitats + Multipliers'!$C$4:$K$102,5,FALSE))</f>
        <v/>
      </c>
      <c r="U46" s="786"/>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75">
      <c r="B47" s="264">
        <v>9</v>
      </c>
      <c r="C47" s="556" t="s">
        <v>252</v>
      </c>
      <c r="D47" s="73"/>
      <c r="E47" s="105" t="str">
        <f>IF(D47="","",VLOOKUP(D47,'10. Condition and Temporal'!$B$6:$D$103,3,FALSE))</f>
        <v/>
      </c>
      <c r="F47" s="700"/>
      <c r="G47" s="701"/>
      <c r="H47" s="71"/>
      <c r="I47" s="722"/>
      <c r="J47" s="723"/>
      <c r="K47" s="723"/>
      <c r="L47" s="945" t="str">
        <f t="shared" si="9"/>
        <v/>
      </c>
      <c r="M47" s="946"/>
      <c r="N47" s="947"/>
      <c r="O47" s="74"/>
      <c r="P47" s="12"/>
      <c r="R47" s="739"/>
      <c r="T47" s="785" t="str">
        <f>IF(D47="","",VLOOKUP(D47,'9. All Habitats + Multipliers'!$C$4:$K$102,5,FALSE))</f>
        <v/>
      </c>
      <c r="U47" s="786"/>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75">
      <c r="B48" s="264">
        <v>10</v>
      </c>
      <c r="C48" s="556" t="s">
        <v>252</v>
      </c>
      <c r="D48" s="73"/>
      <c r="E48" s="105" t="str">
        <f>IF(D48="","",VLOOKUP(D48,'10. Condition and Temporal'!$B$6:$D$103,3,FALSE))</f>
        <v/>
      </c>
      <c r="F48" s="700"/>
      <c r="G48" s="701"/>
      <c r="H48" s="71"/>
      <c r="I48" s="722"/>
      <c r="J48" s="723"/>
      <c r="K48" s="723"/>
      <c r="L48" s="945" t="str">
        <f t="shared" si="9"/>
        <v/>
      </c>
      <c r="M48" s="946"/>
      <c r="N48" s="947"/>
      <c r="O48" s="74"/>
      <c r="P48" s="12"/>
      <c r="R48" s="739"/>
      <c r="T48" s="785" t="str">
        <f>IF(D48="","",VLOOKUP(D48,'9. All Habitats + Multipliers'!$C$4:$K$102,5,FALSE))</f>
        <v/>
      </c>
      <c r="U48" s="786"/>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75">
      <c r="B49" s="264">
        <v>11</v>
      </c>
      <c r="C49" s="556" t="s">
        <v>252</v>
      </c>
      <c r="D49" s="73"/>
      <c r="E49" s="105" t="str">
        <f>IF(D49="","",VLOOKUP(D49,'10. Condition and Temporal'!$B$6:$D$103,3,FALSE))</f>
        <v/>
      </c>
      <c r="F49" s="700"/>
      <c r="G49" s="701"/>
      <c r="H49" s="71"/>
      <c r="I49" s="722"/>
      <c r="J49" s="723"/>
      <c r="K49" s="723"/>
      <c r="L49" s="945" t="str">
        <f t="shared" si="9"/>
        <v/>
      </c>
      <c r="M49" s="946"/>
      <c r="N49" s="947"/>
      <c r="O49" s="74"/>
      <c r="P49" s="12"/>
      <c r="R49" s="739"/>
      <c r="T49" s="785" t="str">
        <f>IF(D49="","",VLOOKUP(D49,'9. All Habitats + Multipliers'!$C$4:$K$102,5,FALSE))</f>
        <v/>
      </c>
      <c r="U49" s="786"/>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75">
      <c r="B50" s="264">
        <v>12</v>
      </c>
      <c r="C50" s="556" t="s">
        <v>252</v>
      </c>
      <c r="D50" s="73"/>
      <c r="E50" s="105" t="str">
        <f>IF(D50="","",VLOOKUP(D50,'10. Condition and Temporal'!$B$6:$D$103,3,FALSE))</f>
        <v/>
      </c>
      <c r="F50" s="700"/>
      <c r="G50" s="701"/>
      <c r="H50" s="71"/>
      <c r="I50" s="722"/>
      <c r="J50" s="723"/>
      <c r="K50" s="723"/>
      <c r="L50" s="945" t="str">
        <f t="shared" si="9"/>
        <v/>
      </c>
      <c r="M50" s="946"/>
      <c r="N50" s="947"/>
      <c r="O50" s="74"/>
      <c r="P50" s="12"/>
      <c r="R50" s="739"/>
      <c r="T50" s="785" t="str">
        <f>IF(D50="","",VLOOKUP(D50,'9. All Habitats + Multipliers'!$C$4:$K$102,5,FALSE))</f>
        <v/>
      </c>
      <c r="U50" s="786"/>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75">
      <c r="B51" s="264">
        <v>13</v>
      </c>
      <c r="C51" s="556" t="s">
        <v>252</v>
      </c>
      <c r="D51" s="73"/>
      <c r="E51" s="105" t="str">
        <f>IF(D51="","",VLOOKUP(D51,'10. Condition and Temporal'!$B$6:$D$103,3,FALSE))</f>
        <v/>
      </c>
      <c r="F51" s="700"/>
      <c r="G51" s="701"/>
      <c r="H51" s="71"/>
      <c r="I51" s="722"/>
      <c r="J51" s="723"/>
      <c r="K51" s="723"/>
      <c r="L51" s="945" t="str">
        <f t="shared" si="9"/>
        <v/>
      </c>
      <c r="M51" s="946"/>
      <c r="N51" s="947"/>
      <c r="O51" s="74"/>
      <c r="P51" s="12"/>
      <c r="R51" s="739"/>
      <c r="T51" s="785" t="str">
        <f>IF(D51="","",VLOOKUP(D51,'9. All Habitats + Multipliers'!$C$4:$K$102,5,FALSE))</f>
        <v/>
      </c>
      <c r="U51" s="786"/>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75">
      <c r="B52" s="264">
        <v>14</v>
      </c>
      <c r="C52" s="556" t="s">
        <v>252</v>
      </c>
      <c r="D52" s="73"/>
      <c r="E52" s="105" t="str">
        <f>IF(D52="","",VLOOKUP(D52,'10. Condition and Temporal'!$B$6:$D$103,3,FALSE))</f>
        <v/>
      </c>
      <c r="F52" s="700"/>
      <c r="G52" s="701"/>
      <c r="H52" s="71"/>
      <c r="I52" s="722"/>
      <c r="J52" s="723"/>
      <c r="K52" s="723"/>
      <c r="L52" s="945" t="str">
        <f t="shared" si="9"/>
        <v/>
      </c>
      <c r="M52" s="946"/>
      <c r="N52" s="947"/>
      <c r="O52" s="74"/>
      <c r="P52" s="12"/>
      <c r="R52" s="739"/>
      <c r="T52" s="785" t="str">
        <f>IF(D52="","",VLOOKUP(D52,'9. All Habitats + Multipliers'!$C$4:$K$102,5,FALSE))</f>
        <v/>
      </c>
      <c r="U52" s="786"/>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75">
      <c r="B53" s="264">
        <v>15</v>
      </c>
      <c r="C53" s="556" t="s">
        <v>252</v>
      </c>
      <c r="D53" s="73"/>
      <c r="E53" s="105" t="str">
        <f>IF(D53="","",VLOOKUP(D53,'10. Condition and Temporal'!$B$6:$D$103,3,FALSE))</f>
        <v/>
      </c>
      <c r="F53" s="700"/>
      <c r="G53" s="701"/>
      <c r="H53" s="71"/>
      <c r="I53" s="722"/>
      <c r="J53" s="723"/>
      <c r="K53" s="723"/>
      <c r="L53" s="945" t="str">
        <f t="shared" si="9"/>
        <v/>
      </c>
      <c r="M53" s="946"/>
      <c r="N53" s="947"/>
      <c r="O53" s="74"/>
      <c r="P53" s="12"/>
      <c r="R53" s="739"/>
      <c r="T53" s="785" t="str">
        <f>IF(D53="","",VLOOKUP(D53,'9. All Habitats + Multipliers'!$C$4:$K$102,5,FALSE))</f>
        <v/>
      </c>
      <c r="U53" s="786"/>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75">
      <c r="B54" s="264">
        <v>16</v>
      </c>
      <c r="C54" s="556" t="s">
        <v>252</v>
      </c>
      <c r="D54" s="73"/>
      <c r="E54" s="105" t="str">
        <f>IF(D54="","",VLOOKUP(D54,'10. Condition and Temporal'!$B$6:$D$103,3,FALSE))</f>
        <v/>
      </c>
      <c r="F54" s="700"/>
      <c r="G54" s="701"/>
      <c r="H54" s="71"/>
      <c r="I54" s="722"/>
      <c r="J54" s="723"/>
      <c r="K54" s="723"/>
      <c r="L54" s="945" t="str">
        <f t="shared" si="9"/>
        <v/>
      </c>
      <c r="M54" s="946"/>
      <c r="N54" s="947"/>
      <c r="O54" s="74"/>
      <c r="P54" s="12"/>
      <c r="R54" s="739"/>
      <c r="T54" s="785" t="str">
        <f>IF(D54="","",VLOOKUP(D54,'9. All Habitats + Multipliers'!$C$4:$K$102,5,FALSE))</f>
        <v/>
      </c>
      <c r="U54" s="786"/>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75">
      <c r="B55" s="264">
        <v>17</v>
      </c>
      <c r="C55" s="556" t="s">
        <v>252</v>
      </c>
      <c r="D55" s="73"/>
      <c r="E55" s="105" t="str">
        <f>IF(D55="","",VLOOKUP(D55,'10. Condition and Temporal'!$B$6:$D$103,3,FALSE))</f>
        <v/>
      </c>
      <c r="F55" s="700"/>
      <c r="G55" s="701"/>
      <c r="H55" s="71"/>
      <c r="I55" s="722"/>
      <c r="J55" s="723"/>
      <c r="K55" s="723"/>
      <c r="L55" s="945" t="str">
        <f t="shared" si="9"/>
        <v/>
      </c>
      <c r="M55" s="946"/>
      <c r="N55" s="947"/>
      <c r="O55" s="74"/>
      <c r="P55" s="12"/>
      <c r="R55" s="739"/>
      <c r="T55" s="785" t="str">
        <f>IF(D55="","",VLOOKUP(D55,'9. All Habitats + Multipliers'!$C$4:$K$102,5,FALSE))</f>
        <v/>
      </c>
      <c r="U55" s="786"/>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75">
      <c r="B56" s="264">
        <v>18</v>
      </c>
      <c r="C56" s="556" t="s">
        <v>252</v>
      </c>
      <c r="D56" s="73"/>
      <c r="E56" s="105" t="str">
        <f>IF(D56="","",VLOOKUP(D56,'10. Condition and Temporal'!$B$6:$D$103,3,FALSE))</f>
        <v/>
      </c>
      <c r="F56" s="700"/>
      <c r="G56" s="701"/>
      <c r="H56" s="71"/>
      <c r="I56" s="722"/>
      <c r="J56" s="723"/>
      <c r="K56" s="723"/>
      <c r="L56" s="945" t="str">
        <f t="shared" si="9"/>
        <v/>
      </c>
      <c r="M56" s="946"/>
      <c r="N56" s="947"/>
      <c r="O56" s="74"/>
      <c r="P56" s="12"/>
      <c r="R56" s="739"/>
      <c r="T56" s="785" t="str">
        <f>IF(D56="","",VLOOKUP(D56,'9. All Habitats + Multipliers'!$C$4:$K$102,5,FALSE))</f>
        <v/>
      </c>
      <c r="U56" s="786"/>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75">
      <c r="B57" s="264">
        <v>19</v>
      </c>
      <c r="C57" s="556" t="s">
        <v>252</v>
      </c>
      <c r="D57" s="73"/>
      <c r="E57" s="105" t="str">
        <f>IF(D57="","",VLOOKUP(D57,'10. Condition and Temporal'!$B$6:$D$103,3,FALSE))</f>
        <v/>
      </c>
      <c r="F57" s="700"/>
      <c r="G57" s="701"/>
      <c r="H57" s="71"/>
      <c r="I57" s="722"/>
      <c r="J57" s="723"/>
      <c r="K57" s="723"/>
      <c r="L57" s="945" t="str">
        <f t="shared" si="9"/>
        <v/>
      </c>
      <c r="M57" s="946"/>
      <c r="N57" s="947"/>
      <c r="O57" s="74"/>
      <c r="P57" s="12"/>
      <c r="R57" s="739"/>
      <c r="T57" s="785" t="str">
        <f>IF(D57="","",VLOOKUP(D57,'9. All Habitats + Multipliers'!$C$4:$K$102,5,FALSE))</f>
        <v/>
      </c>
      <c r="U57" s="786"/>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5" thickBot="1">
      <c r="B58" s="265">
        <v>20</v>
      </c>
      <c r="C58" s="557" t="s">
        <v>252</v>
      </c>
      <c r="D58" s="135"/>
      <c r="E58" s="136" t="str">
        <f>IF(D58="","",VLOOKUP(D58,'10. Condition and Temporal'!$B$6:$D$103,3,FALSE))</f>
        <v/>
      </c>
      <c r="F58" s="954"/>
      <c r="G58" s="955"/>
      <c r="H58" s="137"/>
      <c r="I58" s="967"/>
      <c r="J58" s="968"/>
      <c r="K58" s="968"/>
      <c r="L58" s="969" t="str">
        <f t="shared" si="9"/>
        <v/>
      </c>
      <c r="M58" s="961"/>
      <c r="N58" s="962"/>
      <c r="O58" s="75"/>
      <c r="P58" s="14"/>
      <c r="R58" s="739"/>
      <c r="T58" s="840" t="str">
        <f>IF(D58="","",VLOOKUP(D58,'9. All Habitats + Multipliers'!$C$4:$K$102,5,FALSE))</f>
        <v/>
      </c>
      <c r="U58" s="841"/>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75" thickBot="1">
      <c r="H59" s="269" t="s">
        <v>227</v>
      </c>
      <c r="I59" s="733">
        <f>SUM(I39:K58)</f>
        <v>0</v>
      </c>
      <c r="J59" s="734"/>
      <c r="K59" s="735"/>
      <c r="L59" s="868">
        <f>SUM(L39:N58)</f>
        <v>0</v>
      </c>
      <c r="M59" s="869"/>
      <c r="N59" s="870"/>
      <c r="R59" s="739"/>
      <c r="AJ59" s="157"/>
      <c r="AK59" s="157"/>
      <c r="AL59" s="157"/>
      <c r="AM59" s="157"/>
      <c r="AN59" s="157"/>
    </row>
    <row r="60" spans="1:73" s="25" customFormat="1">
      <c r="R60" s="739"/>
      <c r="AJ60" s="157"/>
      <c r="AK60" s="157"/>
      <c r="AL60" s="157"/>
      <c r="AM60" s="157"/>
      <c r="AN60" s="157"/>
    </row>
    <row r="61" spans="1:73" s="25" customFormat="1">
      <c r="R61" s="739"/>
      <c r="AJ61" s="157"/>
      <c r="AK61" s="157"/>
      <c r="AL61" s="157"/>
      <c r="AM61" s="157"/>
      <c r="AN61" s="157"/>
      <c r="BA61" s="50" t="s">
        <v>117</v>
      </c>
    </row>
    <row r="62" spans="1:73" s="25" customFormat="1" ht="21">
      <c r="B62" s="57" t="s">
        <v>118</v>
      </c>
      <c r="D62" s="88"/>
      <c r="H62" s="26"/>
      <c r="R62" s="739"/>
      <c r="AJ62" s="157"/>
      <c r="AK62" s="157"/>
      <c r="AL62" s="157"/>
      <c r="AM62" s="157"/>
      <c r="AN62" s="157"/>
      <c r="BA62" s="50" t="s">
        <v>119</v>
      </c>
    </row>
    <row r="63" spans="1:73" s="25" customFormat="1" ht="15.75" thickBot="1">
      <c r="A63" s="910"/>
      <c r="R63" s="739"/>
      <c r="AJ63" s="157"/>
      <c r="AK63" s="157"/>
      <c r="AL63" s="157"/>
      <c r="AM63" s="157"/>
      <c r="AN63" s="157"/>
      <c r="BA63" s="970" t="s">
        <v>132</v>
      </c>
    </row>
    <row r="64" spans="1:73" s="25" customFormat="1" ht="16.350000000000001" customHeight="1" thickBot="1">
      <c r="A64" s="910"/>
      <c r="B64" s="831" t="s">
        <v>120</v>
      </c>
      <c r="C64" s="682" t="s">
        <v>121</v>
      </c>
      <c r="D64" s="684"/>
      <c r="E64" s="706" t="s">
        <v>255</v>
      </c>
      <c r="F64" s="716"/>
      <c r="G64" s="708"/>
      <c r="H64" s="725" t="s">
        <v>123</v>
      </c>
      <c r="I64" s="725" t="s">
        <v>256</v>
      </c>
      <c r="J64" s="848" t="s">
        <v>125</v>
      </c>
      <c r="K64" s="848"/>
      <c r="L64" s="682" t="s">
        <v>126</v>
      </c>
      <c r="M64" s="683" t="s">
        <v>127</v>
      </c>
      <c r="N64" s="684"/>
      <c r="O64" s="817" t="s">
        <v>68</v>
      </c>
      <c r="P64" s="685"/>
      <c r="R64" s="739"/>
      <c r="T64" s="845" t="s">
        <v>128</v>
      </c>
      <c r="U64" s="846"/>
      <c r="V64" s="846"/>
      <c r="W64" s="846"/>
      <c r="X64" s="846"/>
      <c r="Y64" s="846"/>
      <c r="Z64" s="846"/>
      <c r="AA64" s="846"/>
      <c r="AB64" s="846"/>
      <c r="AC64" s="846"/>
      <c r="AD64" s="847"/>
      <c r="AE64" s="725" t="s">
        <v>129</v>
      </c>
      <c r="AF64" s="845" t="s">
        <v>130</v>
      </c>
      <c r="AG64" s="846"/>
      <c r="AH64" s="846"/>
      <c r="AI64" s="846"/>
      <c r="AJ64" s="846"/>
      <c r="AK64" s="846"/>
      <c r="AL64" s="846"/>
      <c r="AM64" s="846"/>
      <c r="AN64" s="846"/>
      <c r="AO64" s="846"/>
      <c r="AP64" s="847"/>
      <c r="AQ64" s="727" t="s">
        <v>131</v>
      </c>
      <c r="AR64" s="845" t="s">
        <v>130</v>
      </c>
      <c r="AS64" s="846"/>
      <c r="AT64" s="846"/>
      <c r="AU64" s="846"/>
      <c r="AV64" s="847"/>
      <c r="BA64" s="970"/>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75" customHeight="1" thickBot="1">
      <c r="A65" s="910"/>
      <c r="B65" s="963"/>
      <c r="C65" s="425" t="s">
        <v>133</v>
      </c>
      <c r="D65" s="394" t="s">
        <v>134</v>
      </c>
      <c r="E65" s="392" t="s">
        <v>135</v>
      </c>
      <c r="F65" s="964" t="s">
        <v>136</v>
      </c>
      <c r="G65" s="965"/>
      <c r="H65" s="948"/>
      <c r="I65" s="948"/>
      <c r="J65" s="949"/>
      <c r="K65" s="949"/>
      <c r="L65" s="956"/>
      <c r="M65" s="957"/>
      <c r="N65" s="958"/>
      <c r="O65" s="395" t="s">
        <v>83</v>
      </c>
      <c r="P65" s="394" t="s">
        <v>84</v>
      </c>
      <c r="R65" s="739"/>
      <c r="T65" s="176" t="s">
        <v>137</v>
      </c>
      <c r="U65" s="111" t="s">
        <v>138</v>
      </c>
      <c r="V65" s="112" t="s">
        <v>139</v>
      </c>
      <c r="W65" s="368" t="s">
        <v>140</v>
      </c>
      <c r="X65" s="357" t="s">
        <v>141</v>
      </c>
      <c r="Y65" s="366"/>
      <c r="Z65" s="366"/>
      <c r="AA65" s="366"/>
      <c r="AB65" s="358" t="s">
        <v>142</v>
      </c>
      <c r="AC65" s="367" t="s">
        <v>143</v>
      </c>
      <c r="AD65" s="112" t="s">
        <v>144</v>
      </c>
      <c r="AE65" s="974"/>
      <c r="AF65" s="333" t="s">
        <v>137</v>
      </c>
      <c r="AG65" s="351" t="s">
        <v>85</v>
      </c>
      <c r="AH65" s="350" t="s">
        <v>86</v>
      </c>
      <c r="AI65" s="351" t="s">
        <v>87</v>
      </c>
      <c r="AJ65" s="467" t="s">
        <v>86</v>
      </c>
      <c r="AK65" s="468"/>
      <c r="AL65" s="468"/>
      <c r="AM65" s="468"/>
      <c r="AN65" s="467" t="s">
        <v>71</v>
      </c>
      <c r="AO65" s="353" t="s">
        <v>71</v>
      </c>
      <c r="AP65" s="350" t="s">
        <v>88</v>
      </c>
      <c r="AQ65" s="973"/>
      <c r="AR65" s="350" t="s">
        <v>145</v>
      </c>
      <c r="AS65" s="351" t="s">
        <v>146</v>
      </c>
      <c r="AT65" s="350" t="s">
        <v>147</v>
      </c>
      <c r="AU65" s="352" t="s">
        <v>148</v>
      </c>
      <c r="AV65" s="350" t="s">
        <v>149</v>
      </c>
      <c r="AW65" s="181" t="s">
        <v>150</v>
      </c>
      <c r="AX65" s="480" t="s">
        <v>151</v>
      </c>
      <c r="AY65" s="481" t="s">
        <v>257</v>
      </c>
      <c r="BA65" s="83" t="s">
        <v>153</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154</v>
      </c>
      <c r="BW65" s="169" t="s">
        <v>155</v>
      </c>
      <c r="BX65" s="169" t="s">
        <v>156</v>
      </c>
    </row>
    <row r="66" spans="1:76" s="25" customFormat="1" ht="15.75">
      <c r="B66" s="270">
        <v>1</v>
      </c>
      <c r="C66" s="415" t="str">
        <f t="shared" ref="C66:C85" si="13">IF(D66="","",C11)</f>
        <v/>
      </c>
      <c r="D66" s="416" t="str">
        <f>IF(OR(K11="", K11=0),"",D11)</f>
        <v/>
      </c>
      <c r="E66" s="417" t="str">
        <f t="shared" ref="E66:E85" si="14">IF(AX66="","",AX66)</f>
        <v/>
      </c>
      <c r="F66" s="880"/>
      <c r="G66" s="881"/>
      <c r="H66" s="418" t="str">
        <f t="shared" ref="H66:H85" si="15">IF(D66="","",AB66)</f>
        <v/>
      </c>
      <c r="I66" s="423" t="str">
        <f>IF(OR(K11="",K11=0),"",K11)</f>
        <v/>
      </c>
      <c r="J66" s="952" t="str">
        <f>IF(F66="","",VLOOKUP(F66,'10. Condition and Temporal'!$B$6:$F$103,5,FALSE))</f>
        <v/>
      </c>
      <c r="K66" s="953"/>
      <c r="L66" s="295" t="str">
        <f>IFERROR(IF(D66="","",IF(AX66="Distinctiveness",(((((I66*AH66*AJ66*AY66)-(I66*V66*X66))*(AV66*AT66))+(I66*V66*X66))*AP66)/1000,((((I66*AH66*AJ66*AY66)-(I66*V66*X66*AJ11))*(AV66*AR66))+(I66*V66*X66*AJ11))*AP66/1000)),"This intervention is not permitted within the SSM ▲")</f>
        <v/>
      </c>
      <c r="M66" s="901" t="str">
        <f>IFERROR(IF(F66="","",L66-AD66), "Error ▲")</f>
        <v/>
      </c>
      <c r="N66" s="902"/>
      <c r="O66" s="217"/>
      <c r="P66" s="142"/>
      <c r="R66" s="739"/>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157</v>
      </c>
      <c r="BX66" s="95">
        <f>BB64</f>
        <v>0</v>
      </c>
    </row>
    <row r="67" spans="1:76" s="25" customFormat="1" ht="15.75">
      <c r="B67" s="264">
        <v>2</v>
      </c>
      <c r="C67" s="119" t="str">
        <f t="shared" si="13"/>
        <v/>
      </c>
      <c r="D67" s="208" t="str">
        <f t="shared" ref="D67:D85" si="44">IF(OR(K12="", K12=0),"",D12)</f>
        <v/>
      </c>
      <c r="E67" s="166" t="str">
        <f t="shared" si="14"/>
        <v/>
      </c>
      <c r="F67" s="824"/>
      <c r="G67" s="825"/>
      <c r="H67" s="163" t="str">
        <f t="shared" si="15"/>
        <v/>
      </c>
      <c r="I67" s="317" t="str">
        <f t="shared" ref="I67:I85" si="45">IF(OR(K12="",K12=0),"",K12)</f>
        <v/>
      </c>
      <c r="J67" s="950" t="str">
        <f>IF(F67="","",VLOOKUP(F67,'10. Condition and Temporal'!$B$6:$F$103,5,FALSE))</f>
        <v/>
      </c>
      <c r="K67" s="951"/>
      <c r="L67" s="294" t="str">
        <f t="shared" ref="L67:L85" si="46">IFERROR(IF(D67="","",IF(AX67="Distinctiveness",(((((I67*AH67*AJ67*AY67)-(I67*V67*X67))*(AV67*AT67))+(I67*V67*X67))*AP67)/1000,((((I67*AH67*AJ67*AY67)-(I67*V67*X67*AJ12))*(AV67*AR67))+(I67*V67*X67*AJ12))*AP67/1000)),"This intervention is not permitted within the SSM ▲")</f>
        <v/>
      </c>
      <c r="M67" s="946" t="str">
        <f t="shared" ref="M67:M85" si="47">IFERROR(IF(F67="","",L67-AD67), "Error ▲")</f>
        <v/>
      </c>
      <c r="N67" s="947"/>
      <c r="O67" s="74"/>
      <c r="P67" s="12"/>
      <c r="R67" s="739"/>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158</v>
      </c>
      <c r="BX67" s="95">
        <f>BC64</f>
        <v>0</v>
      </c>
    </row>
    <row r="68" spans="1:76" s="25" customFormat="1" ht="15.75">
      <c r="B68" s="264">
        <v>3</v>
      </c>
      <c r="C68" s="119" t="str">
        <f t="shared" si="13"/>
        <v/>
      </c>
      <c r="D68" s="208" t="str">
        <f t="shared" si="44"/>
        <v/>
      </c>
      <c r="E68" s="166" t="str">
        <f t="shared" si="14"/>
        <v/>
      </c>
      <c r="F68" s="824"/>
      <c r="G68" s="825"/>
      <c r="H68" s="163" t="str">
        <f t="shared" si="15"/>
        <v/>
      </c>
      <c r="I68" s="317" t="str">
        <f t="shared" si="45"/>
        <v/>
      </c>
      <c r="J68" s="950" t="str">
        <f>IF(F68="","",VLOOKUP(F68,'10. Condition and Temporal'!$B$6:$F$103,5,FALSE))</f>
        <v/>
      </c>
      <c r="K68" s="951"/>
      <c r="L68" s="294" t="str">
        <f t="shared" si="46"/>
        <v/>
      </c>
      <c r="M68" s="946" t="str">
        <f t="shared" si="47"/>
        <v/>
      </c>
      <c r="N68" s="947"/>
      <c r="O68" s="74"/>
      <c r="P68" s="12"/>
      <c r="R68" s="739"/>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159</v>
      </c>
      <c r="BX68" s="95">
        <f>BD64</f>
        <v>0</v>
      </c>
    </row>
    <row r="69" spans="1:76" s="25" customFormat="1" ht="15.75">
      <c r="B69" s="264">
        <v>4</v>
      </c>
      <c r="C69" s="119" t="str">
        <f t="shared" si="13"/>
        <v/>
      </c>
      <c r="D69" s="208" t="str">
        <f t="shared" si="44"/>
        <v/>
      </c>
      <c r="E69" s="166" t="str">
        <f t="shared" si="14"/>
        <v/>
      </c>
      <c r="F69" s="824"/>
      <c r="G69" s="825"/>
      <c r="H69" s="163" t="str">
        <f t="shared" si="15"/>
        <v/>
      </c>
      <c r="I69" s="317" t="str">
        <f t="shared" si="45"/>
        <v/>
      </c>
      <c r="J69" s="950" t="str">
        <f>IF(F69="","",VLOOKUP(F69,'10. Condition and Temporal'!$B$6:$F$103,5,FALSE))</f>
        <v/>
      </c>
      <c r="K69" s="951"/>
      <c r="L69" s="294" t="str">
        <f t="shared" si="46"/>
        <v/>
      </c>
      <c r="M69" s="946" t="str">
        <f t="shared" si="47"/>
        <v/>
      </c>
      <c r="N69" s="947"/>
      <c r="O69" s="74"/>
      <c r="P69" s="12"/>
      <c r="R69" s="739"/>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160</v>
      </c>
      <c r="BX69" s="95">
        <f>BE64</f>
        <v>0</v>
      </c>
    </row>
    <row r="70" spans="1:76" s="25" customFormat="1" ht="15.75" customHeight="1">
      <c r="B70" s="264">
        <v>5</v>
      </c>
      <c r="C70" s="119" t="str">
        <f t="shared" si="13"/>
        <v/>
      </c>
      <c r="D70" s="208" t="str">
        <f t="shared" si="44"/>
        <v/>
      </c>
      <c r="E70" s="166" t="str">
        <f t="shared" si="14"/>
        <v/>
      </c>
      <c r="F70" s="824"/>
      <c r="G70" s="825"/>
      <c r="H70" s="163" t="str">
        <f t="shared" si="15"/>
        <v/>
      </c>
      <c r="I70" s="317" t="str">
        <f t="shared" si="45"/>
        <v/>
      </c>
      <c r="J70" s="950" t="str">
        <f>IF(F70="","",VLOOKUP(F70,'10. Condition and Temporal'!$B$6:$F$103,5,FALSE))</f>
        <v/>
      </c>
      <c r="K70" s="951"/>
      <c r="L70" s="294" t="str">
        <f t="shared" si="46"/>
        <v/>
      </c>
      <c r="M70" s="946" t="str">
        <f t="shared" si="47"/>
        <v/>
      </c>
      <c r="N70" s="947"/>
      <c r="O70" s="74"/>
      <c r="P70" s="12"/>
      <c r="R70" s="739"/>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161</v>
      </c>
      <c r="BX70" s="95">
        <f>BF64</f>
        <v>0</v>
      </c>
    </row>
    <row r="71" spans="1:76" s="25" customFormat="1" ht="15.75" customHeight="1">
      <c r="B71" s="264">
        <v>6</v>
      </c>
      <c r="C71" s="119" t="str">
        <f t="shared" si="13"/>
        <v/>
      </c>
      <c r="D71" s="208" t="str">
        <f t="shared" si="44"/>
        <v/>
      </c>
      <c r="E71" s="166" t="str">
        <f t="shared" si="14"/>
        <v/>
      </c>
      <c r="F71" s="824"/>
      <c r="G71" s="825"/>
      <c r="H71" s="163" t="str">
        <f t="shared" si="15"/>
        <v/>
      </c>
      <c r="I71" s="317" t="str">
        <f t="shared" si="45"/>
        <v/>
      </c>
      <c r="J71" s="950" t="str">
        <f>IF(F71="","",VLOOKUP(F71,'10. Condition and Temporal'!$B$6:$F$103,5,FALSE))</f>
        <v/>
      </c>
      <c r="K71" s="951"/>
      <c r="L71" s="294" t="str">
        <f t="shared" si="46"/>
        <v/>
      </c>
      <c r="M71" s="946" t="str">
        <f t="shared" si="47"/>
        <v/>
      </c>
      <c r="N71" s="947"/>
      <c r="O71" s="74"/>
      <c r="P71" s="12"/>
      <c r="R71" s="739"/>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162</v>
      </c>
      <c r="BX71" s="95">
        <f>BG64</f>
        <v>0</v>
      </c>
    </row>
    <row r="72" spans="1:76" s="25" customFormat="1" ht="15.75" customHeight="1">
      <c r="B72" s="264">
        <v>7</v>
      </c>
      <c r="C72" s="119" t="str">
        <f t="shared" si="13"/>
        <v/>
      </c>
      <c r="D72" s="208" t="str">
        <f t="shared" si="44"/>
        <v/>
      </c>
      <c r="E72" s="166" t="str">
        <f t="shared" si="14"/>
        <v/>
      </c>
      <c r="F72" s="824"/>
      <c r="G72" s="825"/>
      <c r="H72" s="163" t="str">
        <f t="shared" si="15"/>
        <v/>
      </c>
      <c r="I72" s="317" t="str">
        <f t="shared" si="45"/>
        <v/>
      </c>
      <c r="J72" s="950" t="str">
        <f>IF(F72="","",VLOOKUP(F72,'10. Condition and Temporal'!$B$6:$F$103,5,FALSE))</f>
        <v/>
      </c>
      <c r="K72" s="951"/>
      <c r="L72" s="294" t="str">
        <f t="shared" si="46"/>
        <v/>
      </c>
      <c r="M72" s="946" t="str">
        <f t="shared" si="47"/>
        <v/>
      </c>
      <c r="N72" s="947"/>
      <c r="O72" s="74"/>
      <c r="P72" s="12"/>
      <c r="R72" s="739"/>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163</v>
      </c>
      <c r="BX72" s="95">
        <f>BH64</f>
        <v>0</v>
      </c>
    </row>
    <row r="73" spans="1:76" s="25" customFormat="1" ht="15.75">
      <c r="B73" s="264">
        <v>8</v>
      </c>
      <c r="C73" s="119" t="str">
        <f t="shared" si="13"/>
        <v/>
      </c>
      <c r="D73" s="208" t="str">
        <f t="shared" si="44"/>
        <v/>
      </c>
      <c r="E73" s="166" t="str">
        <f t="shared" si="14"/>
        <v/>
      </c>
      <c r="F73" s="824"/>
      <c r="G73" s="825"/>
      <c r="H73" s="163" t="str">
        <f t="shared" si="15"/>
        <v/>
      </c>
      <c r="I73" s="317" t="str">
        <f t="shared" si="45"/>
        <v/>
      </c>
      <c r="J73" s="950" t="str">
        <f>IF(F73="","",VLOOKUP(F73,'10. Condition and Temporal'!$B$6:$F$103,5,FALSE))</f>
        <v/>
      </c>
      <c r="K73" s="951"/>
      <c r="L73" s="294" t="str">
        <f t="shared" si="46"/>
        <v/>
      </c>
      <c r="M73" s="946" t="str">
        <f t="shared" si="47"/>
        <v/>
      </c>
      <c r="N73" s="947"/>
      <c r="O73" s="74"/>
      <c r="P73" s="12"/>
      <c r="R73" s="739"/>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164</v>
      </c>
      <c r="BX73" s="95">
        <f>BI64</f>
        <v>0</v>
      </c>
    </row>
    <row r="74" spans="1:76" s="25" customFormat="1" ht="15.75" customHeight="1">
      <c r="B74" s="264">
        <v>9</v>
      </c>
      <c r="C74" s="119" t="str">
        <f t="shared" si="13"/>
        <v/>
      </c>
      <c r="D74" s="208" t="str">
        <f t="shared" si="44"/>
        <v/>
      </c>
      <c r="E74" s="166" t="str">
        <f t="shared" si="14"/>
        <v/>
      </c>
      <c r="F74" s="824"/>
      <c r="G74" s="825"/>
      <c r="H74" s="163" t="str">
        <f t="shared" si="15"/>
        <v/>
      </c>
      <c r="I74" s="317" t="str">
        <f t="shared" si="45"/>
        <v/>
      </c>
      <c r="J74" s="950" t="str">
        <f>IF(F74="","",VLOOKUP(F74,'10. Condition and Temporal'!$B$6:$F$103,5,FALSE))</f>
        <v/>
      </c>
      <c r="K74" s="951"/>
      <c r="L74" s="294" t="str">
        <f t="shared" si="46"/>
        <v/>
      </c>
      <c r="M74" s="946" t="str">
        <f t="shared" si="47"/>
        <v/>
      </c>
      <c r="N74" s="947"/>
      <c r="O74" s="74"/>
      <c r="P74" s="12"/>
      <c r="R74" s="739"/>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165</v>
      </c>
      <c r="BX74" s="95">
        <f>BJ64</f>
        <v>0</v>
      </c>
    </row>
    <row r="75" spans="1:76" s="25" customFormat="1" ht="15.75" customHeight="1">
      <c r="B75" s="264">
        <v>10</v>
      </c>
      <c r="C75" s="119" t="str">
        <f t="shared" si="13"/>
        <v/>
      </c>
      <c r="D75" s="208" t="str">
        <f t="shared" si="44"/>
        <v/>
      </c>
      <c r="E75" s="166" t="str">
        <f t="shared" si="14"/>
        <v/>
      </c>
      <c r="F75" s="824"/>
      <c r="G75" s="825"/>
      <c r="H75" s="163" t="str">
        <f t="shared" si="15"/>
        <v/>
      </c>
      <c r="I75" s="317" t="str">
        <f t="shared" si="45"/>
        <v/>
      </c>
      <c r="J75" s="950" t="str">
        <f>IF(F75="","",VLOOKUP(F75,'10. Condition and Temporal'!$B$6:$F$103,5,FALSE))</f>
        <v/>
      </c>
      <c r="K75" s="951"/>
      <c r="L75" s="294" t="str">
        <f t="shared" si="46"/>
        <v/>
      </c>
      <c r="M75" s="946" t="str">
        <f t="shared" si="47"/>
        <v/>
      </c>
      <c r="N75" s="947"/>
      <c r="O75" s="74"/>
      <c r="P75" s="12"/>
      <c r="R75" s="739"/>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166</v>
      </c>
      <c r="BX75" s="95">
        <f>BK64</f>
        <v>0</v>
      </c>
    </row>
    <row r="76" spans="1:76" s="25" customFormat="1" ht="15.75">
      <c r="B76" s="264">
        <v>11</v>
      </c>
      <c r="C76" s="119" t="str">
        <f t="shared" si="13"/>
        <v/>
      </c>
      <c r="D76" s="208" t="str">
        <f t="shared" si="44"/>
        <v/>
      </c>
      <c r="E76" s="166" t="str">
        <f t="shared" si="14"/>
        <v/>
      </c>
      <c r="F76" s="824"/>
      <c r="G76" s="825"/>
      <c r="H76" s="163" t="str">
        <f t="shared" si="15"/>
        <v/>
      </c>
      <c r="I76" s="317" t="str">
        <f t="shared" si="45"/>
        <v/>
      </c>
      <c r="J76" s="950" t="str">
        <f>IF(F76="","",VLOOKUP(F76,'10. Condition and Temporal'!$B$6:$F$103,5,FALSE))</f>
        <v/>
      </c>
      <c r="K76" s="951"/>
      <c r="L76" s="294" t="str">
        <f t="shared" si="46"/>
        <v/>
      </c>
      <c r="M76" s="946" t="str">
        <f t="shared" si="47"/>
        <v/>
      </c>
      <c r="N76" s="947"/>
      <c r="O76" s="74"/>
      <c r="P76" s="12"/>
      <c r="R76" s="739"/>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167</v>
      </c>
      <c r="BX76" s="95">
        <f>BL64</f>
        <v>0</v>
      </c>
    </row>
    <row r="77" spans="1:76" s="25" customFormat="1" ht="15.75" customHeight="1">
      <c r="B77" s="264">
        <v>12</v>
      </c>
      <c r="C77" s="119" t="str">
        <f t="shared" si="13"/>
        <v/>
      </c>
      <c r="D77" s="208" t="str">
        <f t="shared" si="44"/>
        <v/>
      </c>
      <c r="E77" s="166" t="str">
        <f t="shared" si="14"/>
        <v/>
      </c>
      <c r="F77" s="824"/>
      <c r="G77" s="825"/>
      <c r="H77" s="163" t="str">
        <f t="shared" si="15"/>
        <v/>
      </c>
      <c r="I77" s="317" t="str">
        <f t="shared" si="45"/>
        <v/>
      </c>
      <c r="J77" s="950" t="str">
        <f>IF(F77="","",VLOOKUP(F77,'10. Condition and Temporal'!$B$6:$F$103,5,FALSE))</f>
        <v/>
      </c>
      <c r="K77" s="951"/>
      <c r="L77" s="294" t="str">
        <f t="shared" si="46"/>
        <v/>
      </c>
      <c r="M77" s="946" t="str">
        <f t="shared" si="47"/>
        <v/>
      </c>
      <c r="N77" s="947"/>
      <c r="O77" s="74"/>
      <c r="P77" s="12"/>
      <c r="R77" s="739"/>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168</v>
      </c>
      <c r="BX77" s="95">
        <f>BM64</f>
        <v>0</v>
      </c>
    </row>
    <row r="78" spans="1:76" s="25" customFormat="1" ht="15.75" customHeight="1">
      <c r="B78" s="264">
        <v>13</v>
      </c>
      <c r="C78" s="119" t="str">
        <f t="shared" si="13"/>
        <v/>
      </c>
      <c r="D78" s="208" t="str">
        <f t="shared" si="44"/>
        <v/>
      </c>
      <c r="E78" s="166" t="str">
        <f t="shared" si="14"/>
        <v/>
      </c>
      <c r="F78" s="824"/>
      <c r="G78" s="825"/>
      <c r="H78" s="163" t="str">
        <f t="shared" si="15"/>
        <v/>
      </c>
      <c r="I78" s="317" t="str">
        <f t="shared" si="45"/>
        <v/>
      </c>
      <c r="J78" s="950" t="str">
        <f>IF(F78="","",VLOOKUP(F78,'10. Condition and Temporal'!$B$6:$F$103,5,FALSE))</f>
        <v/>
      </c>
      <c r="K78" s="951"/>
      <c r="L78" s="294" t="str">
        <f t="shared" si="46"/>
        <v/>
      </c>
      <c r="M78" s="946" t="str">
        <f t="shared" si="47"/>
        <v/>
      </c>
      <c r="N78" s="947"/>
      <c r="O78" s="74"/>
      <c r="P78" s="12"/>
      <c r="R78" s="739"/>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169</v>
      </c>
      <c r="BX78" s="95">
        <f>BN64</f>
        <v>0</v>
      </c>
    </row>
    <row r="79" spans="1:76" s="25" customFormat="1" ht="15.75">
      <c r="B79" s="264">
        <v>14</v>
      </c>
      <c r="C79" s="119" t="str">
        <f t="shared" si="13"/>
        <v/>
      </c>
      <c r="D79" s="208" t="str">
        <f t="shared" si="44"/>
        <v/>
      </c>
      <c r="E79" s="166" t="str">
        <f t="shared" si="14"/>
        <v/>
      </c>
      <c r="F79" s="824"/>
      <c r="G79" s="825"/>
      <c r="H79" s="163" t="str">
        <f t="shared" si="15"/>
        <v/>
      </c>
      <c r="I79" s="317" t="str">
        <f t="shared" si="45"/>
        <v/>
      </c>
      <c r="J79" s="950" t="str">
        <f>IF(F79="","",VLOOKUP(F79,'10. Condition and Temporal'!$B$6:$F$103,5,FALSE))</f>
        <v/>
      </c>
      <c r="K79" s="951"/>
      <c r="L79" s="294" t="str">
        <f t="shared" si="46"/>
        <v/>
      </c>
      <c r="M79" s="946" t="str">
        <f t="shared" si="47"/>
        <v/>
      </c>
      <c r="N79" s="947"/>
      <c r="O79" s="74"/>
      <c r="P79" s="12"/>
      <c r="R79" s="739"/>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170</v>
      </c>
      <c r="BX79" s="95">
        <f>BO64</f>
        <v>0</v>
      </c>
    </row>
    <row r="80" spans="1:76" s="25" customFormat="1" ht="15.75" customHeight="1">
      <c r="B80" s="264">
        <v>15</v>
      </c>
      <c r="C80" s="119" t="str">
        <f t="shared" si="13"/>
        <v/>
      </c>
      <c r="D80" s="208" t="str">
        <f t="shared" si="44"/>
        <v/>
      </c>
      <c r="E80" s="166" t="str">
        <f t="shared" si="14"/>
        <v/>
      </c>
      <c r="F80" s="824"/>
      <c r="G80" s="825"/>
      <c r="H80" s="163" t="str">
        <f t="shared" si="15"/>
        <v/>
      </c>
      <c r="I80" s="317" t="str">
        <f t="shared" si="45"/>
        <v/>
      </c>
      <c r="J80" s="950" t="str">
        <f>IF(F80="","",VLOOKUP(F80,'10. Condition and Temporal'!$B$6:$F$103,5,FALSE))</f>
        <v/>
      </c>
      <c r="K80" s="951"/>
      <c r="L80" s="294" t="str">
        <f t="shared" si="46"/>
        <v/>
      </c>
      <c r="M80" s="946" t="str">
        <f t="shared" si="47"/>
        <v/>
      </c>
      <c r="N80" s="947"/>
      <c r="O80" s="74"/>
      <c r="P80" s="12"/>
      <c r="R80" s="739"/>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171</v>
      </c>
      <c r="BX80" s="95">
        <f>BP64</f>
        <v>0</v>
      </c>
    </row>
    <row r="81" spans="1:76" s="25" customFormat="1" ht="15.75" customHeight="1">
      <c r="B81" s="264">
        <v>16</v>
      </c>
      <c r="C81" s="119" t="str">
        <f t="shared" si="13"/>
        <v/>
      </c>
      <c r="D81" s="208" t="str">
        <f t="shared" si="44"/>
        <v/>
      </c>
      <c r="E81" s="166" t="str">
        <f t="shared" si="14"/>
        <v/>
      </c>
      <c r="F81" s="824"/>
      <c r="G81" s="825"/>
      <c r="H81" s="163" t="str">
        <f t="shared" si="15"/>
        <v/>
      </c>
      <c r="I81" s="317" t="str">
        <f t="shared" si="45"/>
        <v/>
      </c>
      <c r="J81" s="950" t="str">
        <f>IF(F81="","",VLOOKUP(F81,'10. Condition and Temporal'!$B$6:$F$103,5,FALSE))</f>
        <v/>
      </c>
      <c r="K81" s="951"/>
      <c r="L81" s="294" t="str">
        <f t="shared" si="46"/>
        <v/>
      </c>
      <c r="M81" s="946" t="str">
        <f t="shared" si="47"/>
        <v/>
      </c>
      <c r="N81" s="947"/>
      <c r="O81" s="74"/>
      <c r="P81" s="12"/>
      <c r="R81" s="739"/>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172</v>
      </c>
      <c r="BX81" s="95">
        <f>BQ64</f>
        <v>0</v>
      </c>
    </row>
    <row r="82" spans="1:76" s="25" customFormat="1" ht="15.75">
      <c r="B82" s="264">
        <v>17</v>
      </c>
      <c r="C82" s="119" t="str">
        <f t="shared" si="13"/>
        <v/>
      </c>
      <c r="D82" s="208" t="str">
        <f t="shared" si="44"/>
        <v/>
      </c>
      <c r="E82" s="166" t="str">
        <f t="shared" si="14"/>
        <v/>
      </c>
      <c r="F82" s="824"/>
      <c r="G82" s="825"/>
      <c r="H82" s="163" t="str">
        <f t="shared" si="15"/>
        <v/>
      </c>
      <c r="I82" s="317" t="str">
        <f t="shared" si="45"/>
        <v/>
      </c>
      <c r="J82" s="950" t="str">
        <f>IF(F82="","",VLOOKUP(F82,'10. Condition and Temporal'!$B$6:$F$103,5,FALSE))</f>
        <v/>
      </c>
      <c r="K82" s="951"/>
      <c r="L82" s="294" t="str">
        <f t="shared" si="46"/>
        <v/>
      </c>
      <c r="M82" s="946" t="str">
        <f t="shared" si="47"/>
        <v/>
      </c>
      <c r="N82" s="947"/>
      <c r="O82" s="74"/>
      <c r="P82" s="12"/>
      <c r="R82" s="739"/>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173</v>
      </c>
      <c r="BX82" s="95">
        <f>BR64</f>
        <v>0</v>
      </c>
    </row>
    <row r="83" spans="1:76" s="25" customFormat="1" ht="15.75" customHeight="1">
      <c r="B83" s="264">
        <v>18</v>
      </c>
      <c r="C83" s="119" t="str">
        <f t="shared" si="13"/>
        <v/>
      </c>
      <c r="D83" s="208" t="str">
        <f t="shared" si="44"/>
        <v/>
      </c>
      <c r="E83" s="166" t="str">
        <f t="shared" si="14"/>
        <v/>
      </c>
      <c r="F83" s="824"/>
      <c r="G83" s="825"/>
      <c r="H83" s="163" t="str">
        <f t="shared" si="15"/>
        <v/>
      </c>
      <c r="I83" s="317" t="str">
        <f t="shared" si="45"/>
        <v/>
      </c>
      <c r="J83" s="950" t="str">
        <f>IF(F83="","",VLOOKUP(F83,'10. Condition and Temporal'!$B$6:$F$103,5,FALSE))</f>
        <v/>
      </c>
      <c r="K83" s="951"/>
      <c r="L83" s="294" t="str">
        <f t="shared" si="46"/>
        <v/>
      </c>
      <c r="M83" s="946" t="str">
        <f t="shared" si="47"/>
        <v/>
      </c>
      <c r="N83" s="947"/>
      <c r="O83" s="74"/>
      <c r="P83" s="12"/>
      <c r="R83" s="739"/>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174</v>
      </c>
      <c r="BX83" s="95">
        <f>BS64</f>
        <v>0</v>
      </c>
    </row>
    <row r="84" spans="1:76" s="25" customFormat="1" ht="15.75" customHeight="1">
      <c r="B84" s="264">
        <v>19</v>
      </c>
      <c r="C84" s="119" t="str">
        <f t="shared" si="13"/>
        <v/>
      </c>
      <c r="D84" s="208" t="str">
        <f t="shared" si="44"/>
        <v/>
      </c>
      <c r="E84" s="166" t="str">
        <f t="shared" si="14"/>
        <v/>
      </c>
      <c r="F84" s="824"/>
      <c r="G84" s="825"/>
      <c r="H84" s="163" t="str">
        <f t="shared" si="15"/>
        <v/>
      </c>
      <c r="I84" s="317" t="str">
        <f t="shared" si="45"/>
        <v/>
      </c>
      <c r="J84" s="950" t="str">
        <f>IF(F84="","",VLOOKUP(F84,'10. Condition and Temporal'!$B$6:$F$103,5,FALSE))</f>
        <v/>
      </c>
      <c r="K84" s="951"/>
      <c r="L84" s="294" t="str">
        <f t="shared" si="46"/>
        <v/>
      </c>
      <c r="M84" s="946" t="str">
        <f t="shared" si="47"/>
        <v/>
      </c>
      <c r="N84" s="947"/>
      <c r="O84" s="74"/>
      <c r="P84" s="12"/>
      <c r="R84" s="739"/>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175</v>
      </c>
      <c r="BX84" s="95">
        <f>BT64</f>
        <v>0</v>
      </c>
    </row>
    <row r="85" spans="1:76" s="25" customFormat="1" ht="16.5" thickBot="1">
      <c r="B85" s="265">
        <v>20</v>
      </c>
      <c r="C85" s="138" t="str">
        <f t="shared" si="13"/>
        <v/>
      </c>
      <c r="D85" s="420" t="str">
        <f t="shared" si="44"/>
        <v/>
      </c>
      <c r="E85" s="167" t="str">
        <f t="shared" si="14"/>
        <v/>
      </c>
      <c r="F85" s="852"/>
      <c r="G85" s="853"/>
      <c r="H85" s="164" t="str">
        <f t="shared" si="15"/>
        <v/>
      </c>
      <c r="I85" s="424" t="str">
        <f t="shared" si="45"/>
        <v/>
      </c>
      <c r="J85" s="959" t="str">
        <f>IF(F85="","",VLOOKUP(F85,'10. Condition and Temporal'!$B$6:$F$103,5,FALSE))</f>
        <v/>
      </c>
      <c r="K85" s="960"/>
      <c r="L85" s="292" t="str">
        <f t="shared" si="46"/>
        <v/>
      </c>
      <c r="M85" s="961" t="str">
        <f t="shared" si="47"/>
        <v/>
      </c>
      <c r="N85" s="962"/>
      <c r="O85" s="75"/>
      <c r="P85" s="14"/>
      <c r="R85" s="739"/>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176</v>
      </c>
      <c r="BX85" s="95">
        <f>BU64</f>
        <v>0</v>
      </c>
    </row>
    <row r="86" spans="1:76" s="25" customFormat="1" ht="15.75" thickBot="1">
      <c r="H86" s="268" t="s">
        <v>227</v>
      </c>
      <c r="I86" s="322">
        <f>SUM(I66:I85)</f>
        <v>0</v>
      </c>
      <c r="J86" s="414"/>
      <c r="L86" s="422">
        <f>SUM(L66:L85)</f>
        <v>0</v>
      </c>
      <c r="M86" s="834">
        <f>SUM(M66:N85)</f>
        <v>0</v>
      </c>
      <c r="N86" s="835"/>
      <c r="R86" s="739"/>
      <c r="AJ86" s="157"/>
      <c r="AK86" s="157"/>
      <c r="AL86" s="157"/>
      <c r="AM86" s="157"/>
      <c r="AN86" s="157"/>
    </row>
    <row r="87" spans="1:76" s="25" customFormat="1">
      <c r="C87" s="26"/>
      <c r="R87" s="739"/>
      <c r="AJ87" s="157"/>
      <c r="AK87" s="157"/>
      <c r="AL87" s="157"/>
      <c r="AM87" s="157"/>
      <c r="AN87" s="157"/>
    </row>
    <row r="88" spans="1:76" s="25" customFormat="1">
      <c r="R88" s="739"/>
      <c r="AJ88" s="157"/>
      <c r="AK88" s="157"/>
      <c r="AL88" s="157"/>
      <c r="AM88" s="157"/>
      <c r="AN88" s="157"/>
    </row>
    <row r="89" spans="1:76" s="25" customFormat="1" ht="19.350000000000001" customHeight="1">
      <c r="R89" s="739"/>
      <c r="AJ89" s="157"/>
      <c r="AK89" s="157"/>
      <c r="AL89" s="157"/>
      <c r="AM89" s="157"/>
      <c r="AN89" s="157"/>
    </row>
    <row r="90" spans="1:76" s="25" customFormat="1">
      <c r="R90" s="739"/>
      <c r="AJ90" s="157"/>
      <c r="AK90" s="157"/>
      <c r="AL90" s="157"/>
      <c r="AM90" s="157"/>
      <c r="AN90" s="157"/>
    </row>
    <row r="91" spans="1:76" s="25" customFormat="1">
      <c r="A91" s="805" t="s">
        <v>191</v>
      </c>
      <c r="B91" s="805"/>
      <c r="C91" s="805"/>
      <c r="D91" s="805"/>
      <c r="E91" s="805"/>
      <c r="F91" s="805"/>
      <c r="G91" s="805"/>
      <c r="H91" s="805"/>
      <c r="I91" s="805"/>
      <c r="J91" s="805"/>
      <c r="K91" s="805"/>
      <c r="L91" s="805"/>
      <c r="M91" s="805"/>
      <c r="N91" s="805"/>
      <c r="O91" s="805"/>
      <c r="P91" s="805"/>
      <c r="Q91" s="805"/>
      <c r="R91" s="739"/>
      <c r="AJ91" s="157"/>
      <c r="AK91" s="157"/>
      <c r="AL91" s="157"/>
      <c r="AM91" s="157"/>
      <c r="AN91" s="157"/>
    </row>
    <row r="92" spans="1:76" s="25" customFormat="1">
      <c r="A92" s="805"/>
      <c r="B92" s="805"/>
      <c r="C92" s="805"/>
      <c r="D92" s="805"/>
      <c r="E92" s="805"/>
      <c r="F92" s="805"/>
      <c r="G92" s="805"/>
      <c r="H92" s="805"/>
      <c r="I92" s="805"/>
      <c r="J92" s="805"/>
      <c r="K92" s="805"/>
      <c r="L92" s="805"/>
      <c r="M92" s="805"/>
      <c r="N92" s="805"/>
      <c r="O92" s="805"/>
      <c r="P92" s="805"/>
      <c r="Q92" s="805"/>
      <c r="R92" s="739"/>
      <c r="AJ92" s="157"/>
      <c r="AK92" s="157"/>
      <c r="AL92" s="157"/>
      <c r="AM92" s="157"/>
      <c r="AN92" s="157"/>
    </row>
    <row r="93" spans="1:76" s="25" customFormat="1">
      <c r="A93" s="805"/>
      <c r="B93" s="805"/>
      <c r="C93" s="805"/>
      <c r="D93" s="805"/>
      <c r="E93" s="805"/>
      <c r="F93" s="805"/>
      <c r="G93" s="805"/>
      <c r="H93" s="805"/>
      <c r="I93" s="805"/>
      <c r="J93" s="805"/>
      <c r="K93" s="805"/>
      <c r="L93" s="805"/>
      <c r="M93" s="805"/>
      <c r="N93" s="805"/>
      <c r="O93" s="805"/>
      <c r="P93" s="805"/>
      <c r="Q93" s="805"/>
      <c r="R93" s="739"/>
      <c r="AJ93" s="157"/>
      <c r="AK93" s="157"/>
      <c r="AL93" s="157"/>
      <c r="AM93" s="157"/>
      <c r="AN93" s="157"/>
    </row>
    <row r="94" spans="1:76" s="25" customFormat="1">
      <c r="R94" s="739"/>
      <c r="AJ94" s="157"/>
      <c r="AK94" s="157"/>
      <c r="AL94" s="157"/>
      <c r="AM94" s="157"/>
      <c r="AN94" s="157"/>
    </row>
    <row r="95" spans="1:76" s="25" customFormat="1" ht="21">
      <c r="C95" s="57" t="s">
        <v>192</v>
      </c>
      <c r="D95" s="26"/>
      <c r="E95" s="26"/>
      <c r="F95" s="26"/>
      <c r="G95" s="26"/>
      <c r="R95" s="739"/>
      <c r="AJ95" s="157"/>
      <c r="AK95" s="157"/>
      <c r="AL95" s="157"/>
      <c r="AM95" s="157"/>
      <c r="AN95" s="157"/>
    </row>
    <row r="96" spans="1:76" s="25" customFormat="1" ht="15.75" thickBot="1">
      <c r="R96" s="739"/>
      <c r="AJ96" s="157"/>
      <c r="AK96" s="157"/>
      <c r="AL96" s="157"/>
      <c r="AM96" s="157"/>
      <c r="AN96" s="157"/>
    </row>
    <row r="97" spans="3:40" s="25" customFormat="1" ht="36.75" customHeight="1" thickBot="1">
      <c r="C97" s="917" t="s">
        <v>232</v>
      </c>
      <c r="D97" s="919"/>
      <c r="E97" s="920" t="str" cm="1">
        <f t="array" aca="1" ref="E97" ca="1">IF(OR(I103:I106="No ▲"),"Error - Trading Rules Not Satisfied ▲","Trading Rules Satisfied ✓")</f>
        <v>Trading Rules Satisfied ✓</v>
      </c>
      <c r="F97" s="920"/>
      <c r="G97" s="920"/>
      <c r="H97" s="920"/>
      <c r="I97" s="921"/>
      <c r="J97" s="157">
        <f ca="1">IFERROR(FIND("Error",E97),0)</f>
        <v>0</v>
      </c>
      <c r="R97" s="739"/>
      <c r="AJ97" s="157"/>
      <c r="AK97" s="157"/>
      <c r="AL97" s="157"/>
      <c r="AM97" s="157"/>
      <c r="AN97" s="157"/>
    </row>
    <row r="98" spans="3:40" s="25" customFormat="1">
      <c r="R98" s="739"/>
      <c r="AJ98" s="157"/>
      <c r="AK98" s="157"/>
      <c r="AL98" s="157"/>
      <c r="AM98" s="157"/>
      <c r="AN98" s="157"/>
    </row>
    <row r="99" spans="3:40" s="25" customFormat="1" ht="21">
      <c r="C99" s="57" t="s">
        <v>195</v>
      </c>
      <c r="R99" s="739"/>
      <c r="AJ99" s="157"/>
      <c r="AK99" s="157"/>
      <c r="AL99" s="157"/>
      <c r="AM99" s="157"/>
      <c r="AN99" s="157"/>
    </row>
    <row r="100" spans="3:40" s="25" customFormat="1">
      <c r="R100" s="739"/>
      <c r="AJ100" s="157"/>
      <c r="AK100" s="157"/>
      <c r="AL100" s="157"/>
      <c r="AM100" s="157"/>
      <c r="AN100" s="157"/>
    </row>
    <row r="101" spans="3:40" s="25" customFormat="1" ht="15.75" thickBot="1">
      <c r="J101" s="430"/>
      <c r="R101" s="739"/>
      <c r="AJ101" s="157"/>
      <c r="AK101" s="157"/>
      <c r="AL101" s="157"/>
      <c r="AM101" s="157"/>
      <c r="AN101" s="157"/>
    </row>
    <row r="102" spans="3:40" s="25" customFormat="1" ht="40.5" customHeight="1" thickBot="1">
      <c r="C102" s="450" t="s">
        <v>133</v>
      </c>
      <c r="D102" s="440" t="s">
        <v>85</v>
      </c>
      <c r="E102" s="440" t="s">
        <v>258</v>
      </c>
      <c r="F102" s="440" t="s">
        <v>198</v>
      </c>
      <c r="G102" s="440" t="s">
        <v>199</v>
      </c>
      <c r="H102" s="440" t="s">
        <v>200</v>
      </c>
      <c r="I102" s="441" t="s">
        <v>201</v>
      </c>
      <c r="J102" s="431"/>
      <c r="R102" s="739"/>
      <c r="AJ102" s="157"/>
      <c r="AK102" s="157"/>
      <c r="AL102" s="157"/>
      <c r="AM102" s="157"/>
      <c r="AN102" s="157"/>
    </row>
    <row r="103" spans="3:40" s="25" customFormat="1" ht="30" customHeight="1">
      <c r="C103" s="931" t="s">
        <v>252</v>
      </c>
      <c r="D103" s="863" t="s">
        <v>215</v>
      </c>
      <c r="E103" s="442" t="s">
        <v>259</v>
      </c>
      <c r="F103" s="443">
        <f ca="1">SUMIF($D$11:$E$30, $E$103, $L$11:$L$30)</f>
        <v>0</v>
      </c>
      <c r="G103" s="443">
        <f>IF($I$59+$I$86+$P$1=0,0,SUMIF($D$39:$D$58,$E$103,$L$39:$N$58)+SUMIF($F$66:$G$85,$E$103,$L$66:$L$85)+SUMIF($D$11:$E$30,$E$103,$AE$11:$AE$30))</f>
        <v>0</v>
      </c>
      <c r="H103" s="443">
        <f ca="1">$G$103-$F$103</f>
        <v>0</v>
      </c>
      <c r="I103" s="924" t="str">
        <f ca="1">IF(AND($H$103&gt;=0, H104&gt;=0),"Yes ✓", "No ▲")</f>
        <v>Yes ✓</v>
      </c>
      <c r="J103" s="431"/>
      <c r="R103" s="739"/>
      <c r="AJ103" s="157"/>
      <c r="AK103" s="157"/>
      <c r="AL103" s="157"/>
      <c r="AM103" s="157"/>
      <c r="AN103" s="157"/>
    </row>
    <row r="104" spans="3:40" s="25" customFormat="1" ht="30" customHeight="1">
      <c r="C104" s="932"/>
      <c r="D104" s="854"/>
      <c r="E104" s="428" t="s">
        <v>260</v>
      </c>
      <c r="F104" s="429">
        <f ca="1">SUMIF($D$11:$E$30,$E$104,$L$11:$L$30)</f>
        <v>0</v>
      </c>
      <c r="G104" s="429">
        <f>IF($I$59+$I$86+$P$1=0,0,SUMIF($D$39:$D$58,$E$104,$L$39:$N$58)+SUMIF($F$66:$G$85,$E$104,$L$66:$L$85)+SUMIF($D$11:$E$30,$E$104,$AE$11:$AE$30))</f>
        <v>0</v>
      </c>
      <c r="H104" s="429">
        <f ca="1">$G$104-$F$104</f>
        <v>0</v>
      </c>
      <c r="I104" s="925"/>
      <c r="J104" s="431"/>
      <c r="R104" s="739"/>
      <c r="AJ104" s="157"/>
      <c r="AK104" s="157"/>
      <c r="AL104" s="157"/>
      <c r="AM104" s="157"/>
      <c r="AN104" s="157"/>
    </row>
    <row r="105" spans="3:40" s="25" customFormat="1" ht="30" customHeight="1" thickBot="1">
      <c r="C105" s="932"/>
      <c r="D105" s="856"/>
      <c r="E105" s="444" t="s">
        <v>238</v>
      </c>
      <c r="F105" s="445">
        <f ca="1">SUM(F103:F104)</f>
        <v>0</v>
      </c>
      <c r="G105" s="445">
        <f>SUM(G103:G104)</f>
        <v>0</v>
      </c>
      <c r="H105" s="445">
        <f ca="1">SUM($H$103:$H$104)</f>
        <v>0</v>
      </c>
      <c r="I105" s="926"/>
      <c r="J105" s="157">
        <f ca="1">IF($I$103= "No ▲",1,0)</f>
        <v>0</v>
      </c>
      <c r="R105" s="739"/>
      <c r="AJ105" s="157"/>
      <c r="AK105" s="157"/>
      <c r="AL105" s="157"/>
      <c r="AM105" s="157"/>
      <c r="AN105" s="157"/>
    </row>
    <row r="106" spans="3:40" s="25" customFormat="1" ht="30" customHeight="1" thickBot="1">
      <c r="C106" s="933"/>
      <c r="D106" s="446" t="s">
        <v>216</v>
      </c>
      <c r="E106" s="447" t="s">
        <v>261</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39"/>
      <c r="AJ106" s="157"/>
      <c r="AK106" s="157"/>
      <c r="AL106" s="157"/>
      <c r="AM106" s="157"/>
      <c r="AN106" s="157"/>
    </row>
    <row r="107" spans="3:40" s="25" customFormat="1" ht="12" customHeight="1" thickBot="1">
      <c r="G107" s="434">
        <f ca="1">IF(H105&gt;0,($H$105+$H$106),H106)</f>
        <v>0</v>
      </c>
      <c r="J107" s="430"/>
      <c r="R107" s="739"/>
      <c r="AJ107" s="157"/>
      <c r="AK107" s="157"/>
      <c r="AL107" s="157"/>
      <c r="AM107" s="157"/>
      <c r="AN107" s="157"/>
    </row>
    <row r="108" spans="3:40" s="25" customFormat="1" ht="18.75">
      <c r="C108" s="702" t="s">
        <v>262</v>
      </c>
      <c r="D108" s="930"/>
      <c r="E108" s="930"/>
      <c r="F108" s="930"/>
      <c r="G108" s="437">
        <f ca="1">$H$105</f>
        <v>0</v>
      </c>
      <c r="H108" s="431"/>
      <c r="J108" s="430"/>
      <c r="R108" s="739"/>
      <c r="AJ108" s="157"/>
      <c r="AK108" s="157"/>
      <c r="AL108" s="157"/>
      <c r="AM108" s="157"/>
      <c r="AN108" s="157"/>
    </row>
    <row r="109" spans="3:40" s="25" customFormat="1" ht="19.5" thickBot="1">
      <c r="C109" s="856" t="s">
        <v>263</v>
      </c>
      <c r="D109" s="634"/>
      <c r="E109" s="634"/>
      <c r="F109" s="634"/>
      <c r="G109" s="438">
        <f ca="1">IF($H$105&lt;=0,$H$106,($H$106+$H$105))</f>
        <v>0</v>
      </c>
      <c r="R109" s="739"/>
      <c r="AJ109" s="157"/>
      <c r="AK109" s="157"/>
      <c r="AL109" s="157"/>
      <c r="AM109" s="157"/>
      <c r="AN109" s="157"/>
    </row>
    <row r="110" spans="3:40" s="25" customFormat="1">
      <c r="R110" s="739"/>
      <c r="AJ110" s="157"/>
      <c r="AK110" s="157"/>
      <c r="AL110" s="157"/>
      <c r="AM110" s="157"/>
      <c r="AN110" s="157"/>
    </row>
    <row r="111" spans="3:40" s="25" customFormat="1">
      <c r="R111" s="739"/>
      <c r="AJ111" s="157"/>
      <c r="AK111" s="157"/>
      <c r="AL111" s="157"/>
      <c r="AM111" s="157"/>
      <c r="AN111" s="157"/>
    </row>
    <row r="112" spans="3:40" s="25" customFormat="1">
      <c r="R112" s="739"/>
      <c r="AJ112" s="157"/>
      <c r="AK112" s="157"/>
      <c r="AL112" s="157"/>
      <c r="AM112" s="157"/>
      <c r="AN112" s="157"/>
    </row>
    <row r="113" spans="18:40" s="25" customFormat="1">
      <c r="R113" s="739"/>
      <c r="AJ113" s="157"/>
      <c r="AK113" s="157"/>
      <c r="AL113" s="157"/>
      <c r="AM113" s="157"/>
      <c r="AN113" s="157"/>
    </row>
    <row r="114" spans="18:40" s="25" customFormat="1">
      <c r="R114" s="739"/>
      <c r="AJ114" s="157"/>
      <c r="AK114" s="157"/>
      <c r="AL114" s="157"/>
      <c r="AM114" s="157"/>
      <c r="AN114" s="157"/>
    </row>
    <row r="115" spans="18:40" s="25" customFormat="1">
      <c r="R115" s="739"/>
      <c r="AJ115" s="157"/>
      <c r="AK115" s="157"/>
      <c r="AL115" s="157"/>
      <c r="AM115" s="157"/>
      <c r="AN115" s="157"/>
    </row>
    <row r="116" spans="18:40" s="25" customFormat="1">
      <c r="R116" s="739"/>
      <c r="AJ116" s="157"/>
      <c r="AK116" s="157"/>
      <c r="AL116" s="157"/>
      <c r="AM116" s="157"/>
      <c r="AN116" s="157"/>
    </row>
    <row r="117" spans="18:40" s="25" customFormat="1">
      <c r="R117" s="739"/>
      <c r="AJ117" s="157"/>
      <c r="AK117" s="157"/>
      <c r="AL117" s="157"/>
      <c r="AM117" s="157"/>
      <c r="AN117" s="157"/>
    </row>
    <row r="118" spans="18:40" s="25" customFormat="1">
      <c r="R118" s="739"/>
      <c r="AJ118" s="157"/>
      <c r="AK118" s="157"/>
      <c r="AL118" s="157"/>
      <c r="AM118" s="157"/>
      <c r="AN118" s="157"/>
    </row>
    <row r="119" spans="18:40" s="25" customFormat="1">
      <c r="R119" s="739"/>
      <c r="AJ119" s="157"/>
      <c r="AK119" s="157"/>
      <c r="AL119" s="157"/>
      <c r="AM119" s="157"/>
      <c r="AN119" s="157"/>
    </row>
    <row r="120" spans="18:40" s="25" customFormat="1">
      <c r="R120" s="739"/>
      <c r="AJ120" s="157"/>
      <c r="AK120" s="157"/>
      <c r="AL120" s="157"/>
      <c r="AM120" s="157"/>
      <c r="AN120" s="157"/>
    </row>
    <row r="121" spans="18:40" s="25" customFormat="1">
      <c r="R121" s="739"/>
      <c r="AJ121" s="157"/>
      <c r="AK121" s="157"/>
      <c r="AL121" s="157"/>
      <c r="AM121" s="157"/>
      <c r="AN121" s="157"/>
    </row>
    <row r="122" spans="18:40" s="25" customFormat="1">
      <c r="R122" s="739"/>
      <c r="AJ122" s="157"/>
      <c r="AK122" s="157"/>
      <c r="AL122" s="157"/>
      <c r="AM122" s="157"/>
      <c r="AN122" s="157"/>
    </row>
    <row r="123" spans="18:40" s="25" customFormat="1">
      <c r="R123" s="739"/>
      <c r="AJ123" s="157"/>
      <c r="AK123" s="157"/>
      <c r="AL123" s="157"/>
      <c r="AM123" s="157"/>
      <c r="AN123" s="157"/>
    </row>
    <row r="124" spans="18:40" s="25" customFormat="1">
      <c r="R124" s="739"/>
      <c r="AJ124" s="157"/>
      <c r="AK124" s="157"/>
      <c r="AL124" s="157"/>
      <c r="AM124" s="157"/>
      <c r="AN124" s="157"/>
    </row>
    <row r="125" spans="18:40" s="25" customFormat="1">
      <c r="R125" s="739"/>
      <c r="AJ125" s="157"/>
      <c r="AK125" s="157"/>
      <c r="AL125" s="157"/>
      <c r="AM125" s="157"/>
      <c r="AN125" s="157"/>
    </row>
    <row r="126" spans="18:40" s="25" customFormat="1">
      <c r="R126" s="739"/>
      <c r="AJ126" s="157"/>
      <c r="AK126" s="157"/>
      <c r="AL126" s="157"/>
      <c r="AM126" s="157"/>
      <c r="AN126" s="157"/>
    </row>
    <row r="127" spans="18:40" s="25" customFormat="1">
      <c r="R127" s="739"/>
      <c r="AJ127" s="157"/>
      <c r="AK127" s="157"/>
      <c r="AL127" s="157"/>
      <c r="AM127" s="157"/>
      <c r="AN127" s="157"/>
    </row>
    <row r="128" spans="18:40" s="25" customFormat="1">
      <c r="R128" s="739"/>
      <c r="AJ128" s="157"/>
      <c r="AK128" s="157"/>
      <c r="AL128" s="157"/>
      <c r="AM128" s="157"/>
      <c r="AN128" s="157"/>
    </row>
    <row r="129" spans="18:40" s="25" customFormat="1">
      <c r="R129" s="739"/>
      <c r="AJ129" s="157"/>
      <c r="AK129" s="157"/>
      <c r="AL129" s="157"/>
      <c r="AM129" s="157"/>
      <c r="AN129" s="157"/>
    </row>
    <row r="130" spans="18:40" s="25" customFormat="1">
      <c r="R130" s="739"/>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7HLOq8XY9RtwIsu9pKITXtzaQIkQskpS6tcsZ2zCm6OVJoyAyiRkR2xiJp8Xa5RHWgDMsUw1fQYkWK8oO9QE9Q==" saltValue="AuX3pbM0XTjmrHH9XTgd6Q=="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abSelected="1" zoomScale="59" zoomScaleNormal="80" workbookViewId="0">
      <selection activeCell="F3" sqref="F3"/>
    </sheetView>
  </sheetViews>
  <sheetFormatPr defaultColWidth="0" defaultRowHeight="15.75" zeroHeight="1"/>
  <cols>
    <col min="1" max="1" width="14.140625" customWidth="1"/>
    <col min="2" max="2" width="30.42578125" customWidth="1"/>
    <col min="3" max="3" width="45.28515625" customWidth="1"/>
    <col min="4" max="4" width="76.42578125" customWidth="1"/>
    <col min="5" max="5" width="13" bestFit="1" customWidth="1"/>
    <col min="6" max="6" width="19.42578125" style="49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42578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6.5" thickBot="1">
      <c r="A1" s="25"/>
      <c r="B1" s="25"/>
      <c r="C1" s="25"/>
      <c r="D1" s="25"/>
      <c r="E1" s="25"/>
      <c r="F1" s="490"/>
      <c r="G1" s="25"/>
      <c r="H1" s="25"/>
      <c r="I1" s="25"/>
      <c r="J1" s="25"/>
      <c r="K1" s="25"/>
      <c r="L1" s="25"/>
      <c r="M1" s="25"/>
      <c r="N1" s="25"/>
      <c r="O1" s="25"/>
      <c r="P1" s="25"/>
      <c r="Q1" s="25"/>
      <c r="R1" s="25"/>
      <c r="S1" s="25"/>
      <c r="T1" s="25"/>
      <c r="U1" s="25"/>
      <c r="V1" s="25"/>
      <c r="W1" s="25"/>
      <c r="X1" s="25"/>
    </row>
    <row r="2" spans="1:24" ht="24.75" customHeight="1">
      <c r="A2" s="25"/>
      <c r="B2" s="646" t="s">
        <v>56</v>
      </c>
      <c r="C2" s="647"/>
      <c r="D2" s="636" t="str">
        <f>IF('2. Site Details'!D4="","Enter site name on 2. Site Details",'2. Site Details'!D4)</f>
        <v>Jolesfield Cottages</v>
      </c>
      <c r="E2" s="637"/>
      <c r="F2" s="497"/>
      <c r="G2" s="52"/>
      <c r="H2" s="52"/>
      <c r="I2" s="52"/>
      <c r="J2" s="52"/>
      <c r="K2" s="52"/>
      <c r="L2" s="52"/>
      <c r="M2" s="52"/>
      <c r="N2" s="52"/>
      <c r="O2" s="52"/>
      <c r="P2" s="52"/>
      <c r="Q2" s="52"/>
      <c r="R2" s="52"/>
      <c r="S2" s="52"/>
      <c r="T2" s="52"/>
      <c r="U2" s="52"/>
      <c r="V2" s="52"/>
      <c r="W2" s="52"/>
      <c r="X2" s="25"/>
    </row>
    <row r="3" spans="1:24" ht="24.75" customHeight="1" thickBot="1">
      <c r="A3" s="25"/>
      <c r="B3" s="642" t="s">
        <v>13</v>
      </c>
      <c r="C3" s="643"/>
      <c r="D3" s="634" t="s">
        <v>264</v>
      </c>
      <c r="E3" s="635"/>
      <c r="F3" s="491"/>
      <c r="G3" s="52"/>
      <c r="H3" s="983"/>
      <c r="I3" s="983"/>
      <c r="J3" s="983"/>
      <c r="K3" s="983"/>
      <c r="L3" s="983"/>
      <c r="M3" s="983"/>
      <c r="N3" s="983"/>
      <c r="O3" s="983"/>
      <c r="P3" s="52"/>
      <c r="Q3" s="52"/>
      <c r="R3" s="52"/>
      <c r="S3" s="52"/>
      <c r="T3" s="52"/>
      <c r="U3" s="52"/>
      <c r="V3" s="52"/>
      <c r="W3" s="52"/>
      <c r="X3" s="25"/>
    </row>
    <row r="4" spans="1:24" ht="34.35" customHeight="1" thickBot="1">
      <c r="A4" s="25"/>
      <c r="B4" s="56" t="s">
        <v>264</v>
      </c>
      <c r="C4" s="25"/>
      <c r="D4" s="25"/>
      <c r="E4" s="25"/>
      <c r="F4" s="491"/>
      <c r="G4" s="52"/>
      <c r="H4" s="52"/>
      <c r="I4" s="52"/>
      <c r="J4" s="52"/>
      <c r="K4" s="52"/>
      <c r="L4" s="52"/>
      <c r="M4" s="52"/>
      <c r="N4" s="52"/>
      <c r="O4" s="52"/>
      <c r="P4" s="52"/>
      <c r="Q4" s="52"/>
      <c r="R4" s="52"/>
      <c r="S4" s="52"/>
      <c r="T4" s="52"/>
      <c r="U4" s="52"/>
      <c r="V4" s="52"/>
      <c r="W4" s="52"/>
      <c r="X4" s="25"/>
    </row>
    <row r="5" spans="1:24" ht="24.75" customHeight="1" thickBot="1">
      <c r="A5" s="25"/>
      <c r="B5" s="619" t="s">
        <v>265</v>
      </c>
      <c r="C5" s="995"/>
      <c r="D5" s="1005" t="str">
        <f>IF(OR(D27&gt;0,D28&gt;0,D29&gt;0),"BNG Targets Not Met ▲","BNG Targets Met ✓")</f>
        <v>BNG Targets Met ✓</v>
      </c>
      <c r="E5" s="921"/>
      <c r="F5" s="491"/>
      <c r="G5" s="52"/>
      <c r="H5" s="52"/>
      <c r="I5" s="52"/>
      <c r="J5" s="52"/>
      <c r="K5" s="52"/>
      <c r="L5" s="52"/>
      <c r="M5" s="52"/>
      <c r="N5" s="52"/>
      <c r="O5" s="52"/>
      <c r="P5" s="52"/>
      <c r="Q5" s="52"/>
      <c r="R5" s="52"/>
      <c r="S5" s="52"/>
      <c r="T5" s="52"/>
      <c r="U5" s="52"/>
      <c r="V5" s="52"/>
      <c r="W5" s="52"/>
      <c r="X5" s="25"/>
    </row>
    <row r="6" spans="1:24" ht="24.75"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75" customHeight="1" thickBot="1">
      <c r="A7" s="25"/>
      <c r="B7" s="619" t="s">
        <v>266</v>
      </c>
      <c r="C7" s="620"/>
      <c r="D7" s="1002" t="str">
        <f ca="1">IF('5. Area Habitats'!J108+'5. Area Habitats'!J109+'6. Hedges &amp; Lines of Trees'!J97+'7. Watercourses'!J97&gt;0,"Trading Rules Not Satisfied ▲","Trading Rules Satisfied ✓")</f>
        <v>Trading Rules Satisfied ✓</v>
      </c>
      <c r="E7" s="1003"/>
      <c r="F7" s="498"/>
      <c r="G7" s="383"/>
      <c r="H7" s="384"/>
      <c r="I7" s="385"/>
      <c r="J7" s="52"/>
      <c r="K7" s="52"/>
      <c r="L7" s="52"/>
      <c r="M7" s="52"/>
      <c r="N7" s="52"/>
      <c r="O7" s="52"/>
      <c r="P7" s="52"/>
      <c r="Q7" s="52"/>
      <c r="R7" s="52"/>
      <c r="S7" s="52"/>
      <c r="T7" s="52"/>
      <c r="U7" s="52"/>
      <c r="V7" s="52"/>
      <c r="W7" s="52"/>
      <c r="X7" s="25"/>
    </row>
    <row r="8" spans="1:24" ht="24.75"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75" customHeight="1" thickBot="1">
      <c r="A9" s="25"/>
      <c r="B9" s="619" t="s">
        <v>267</v>
      </c>
      <c r="C9" s="995"/>
      <c r="D9" s="1006" t="str">
        <f ca="1">IF(OR(D5="BNG Targets Not Met ▲",D7="Trading Rules Not Satisfied ▲"),"Scheme alterations or offsite units required","Check for input errors/rule breaks present in the metric ⚠")</f>
        <v>Check for input errors/rule breaks present in the metric ⚠</v>
      </c>
      <c r="E9" s="1007"/>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1004"/>
      <c r="E10" s="1004"/>
      <c r="F10" s="491" t="s">
        <v>268</v>
      </c>
      <c r="G10" s="29"/>
      <c r="H10" s="29"/>
      <c r="I10" s="29"/>
      <c r="J10" s="29"/>
      <c r="K10" s="29"/>
      <c r="L10" s="29"/>
      <c r="M10" s="29"/>
      <c r="N10" s="29"/>
      <c r="O10" s="29"/>
      <c r="P10" s="29"/>
      <c r="Q10" s="54"/>
      <c r="R10" s="29"/>
      <c r="S10" s="52"/>
      <c r="T10" s="52"/>
      <c r="U10" s="52"/>
      <c r="V10" s="52"/>
      <c r="W10" s="52"/>
      <c r="X10" s="25"/>
    </row>
    <row r="11" spans="1:24" ht="24.75" customHeight="1">
      <c r="A11" s="25"/>
      <c r="B11" s="986" t="s">
        <v>269</v>
      </c>
      <c r="C11" s="273" t="s">
        <v>270</v>
      </c>
      <c r="D11" s="484">
        <f>IF('5. Area Habitats'!L32=0,"Zero Units Baseline",'5. Area Habitats'!L32)</f>
        <v>4.6552661759999996</v>
      </c>
      <c r="E11" s="485"/>
      <c r="F11" s="491">
        <f>('2. Site Details'!$D$13/100)*$D$11</f>
        <v>0.46552661759999997</v>
      </c>
      <c r="G11" s="379"/>
      <c r="H11" s="29"/>
      <c r="I11" s="29"/>
      <c r="J11" s="29"/>
      <c r="K11" s="29"/>
      <c r="L11" s="29"/>
      <c r="M11" s="29"/>
      <c r="N11" s="29"/>
      <c r="O11" s="29"/>
      <c r="P11" s="29"/>
      <c r="Q11" s="54"/>
      <c r="R11" s="29"/>
      <c r="S11" s="52"/>
      <c r="T11" s="52"/>
      <c r="U11" s="52"/>
      <c r="V11" s="52"/>
      <c r="W11" s="52"/>
      <c r="X11" s="25"/>
    </row>
    <row r="12" spans="1:24" ht="24.75" customHeight="1">
      <c r="A12" s="25"/>
      <c r="B12" s="987"/>
      <c r="C12" s="274" t="s">
        <v>271</v>
      </c>
      <c r="D12" s="486">
        <f>IF('6. Hedges &amp; Lines of Trees'!L31=0,"Zero Units Baseline",'6. Hedges &amp; Lines of Trees'!L31)</f>
        <v>0.78</v>
      </c>
      <c r="E12" s="487"/>
      <c r="F12" s="491">
        <f>('2. Site Details'!$D$14/100)*$D$12</f>
        <v>7.8000000000000014E-2</v>
      </c>
      <c r="G12" s="380"/>
      <c r="H12" s="29"/>
      <c r="I12" s="29"/>
      <c r="J12" s="29"/>
      <c r="K12" s="29"/>
      <c r="L12" s="29"/>
      <c r="M12" s="29"/>
      <c r="N12" s="29"/>
      <c r="O12" s="29"/>
      <c r="P12" s="29"/>
      <c r="Q12" s="54"/>
      <c r="R12" s="29"/>
      <c r="S12" s="52"/>
      <c r="T12" s="52"/>
      <c r="U12" s="52"/>
      <c r="V12" s="52"/>
      <c r="W12" s="52"/>
      <c r="X12" s="25"/>
    </row>
    <row r="13" spans="1:24" ht="24.75" customHeight="1" thickBot="1">
      <c r="A13" s="25"/>
      <c r="B13" s="988"/>
      <c r="C13" s="275" t="s">
        <v>272</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75" customHeight="1" thickBot="1">
      <c r="A14" s="25"/>
      <c r="B14" s="25"/>
      <c r="C14" s="25"/>
      <c r="D14" s="165"/>
      <c r="E14" s="165"/>
      <c r="F14" s="491" t="s">
        <v>273</v>
      </c>
      <c r="G14" s="29"/>
      <c r="H14" s="29"/>
      <c r="I14" s="29"/>
      <c r="J14" s="29"/>
      <c r="K14" s="29"/>
      <c r="L14" s="29"/>
      <c r="M14" s="29"/>
      <c r="N14" s="29"/>
      <c r="O14" s="29"/>
      <c r="P14" s="29"/>
      <c r="Q14" s="54"/>
      <c r="R14" s="29"/>
      <c r="S14" s="52"/>
      <c r="T14" s="52"/>
      <c r="U14" s="52"/>
      <c r="V14" s="52"/>
      <c r="W14" s="52"/>
      <c r="X14" s="25"/>
    </row>
    <row r="15" spans="1:24" ht="24.75" customHeight="1">
      <c r="A15" s="25"/>
      <c r="B15" s="986" t="s">
        <v>274</v>
      </c>
      <c r="C15" s="273" t="s">
        <v>270</v>
      </c>
      <c r="D15" s="484">
        <f>'5. Area Habitats'!P3+'5. Area Habitats'!P4+'5. Area Habitats'!P1</f>
        <v>5.1228844940410019</v>
      </c>
      <c r="E15" s="485"/>
      <c r="F15" s="492">
        <f>D11+F11</f>
        <v>5.1207927935999997</v>
      </c>
      <c r="G15" s="29"/>
      <c r="H15" s="29"/>
      <c r="I15" s="29"/>
      <c r="J15" s="29"/>
      <c r="K15" s="29"/>
      <c r="L15" s="29"/>
      <c r="M15" s="29"/>
      <c r="N15" s="29"/>
      <c r="O15" s="29"/>
      <c r="P15" s="29"/>
      <c r="Q15" s="54"/>
      <c r="R15" s="29"/>
      <c r="S15" s="52"/>
      <c r="T15" s="52"/>
      <c r="U15" s="52"/>
      <c r="V15" s="52"/>
      <c r="W15" s="52"/>
      <c r="X15" s="25"/>
    </row>
    <row r="16" spans="1:24" ht="24.75" customHeight="1">
      <c r="A16" s="25"/>
      <c r="B16" s="987"/>
      <c r="C16" s="274" t="s">
        <v>271</v>
      </c>
      <c r="D16" s="486">
        <f>'6. Hedges &amp; Lines of Trees'!P3+'6. Hedges &amp; Lines of Trees'!P4+'6. Hedges &amp; Lines of Trees'!P1</f>
        <v>0.85825444328400002</v>
      </c>
      <c r="E16" s="487"/>
      <c r="F16" s="492">
        <f>D12+F12</f>
        <v>0.8580000000000001</v>
      </c>
      <c r="G16" s="29"/>
      <c r="H16" s="29"/>
      <c r="I16" s="29"/>
      <c r="J16" s="29"/>
      <c r="K16" s="29"/>
      <c r="L16" s="29"/>
      <c r="M16" s="29"/>
      <c r="N16" s="29"/>
      <c r="O16" s="29"/>
      <c r="P16" s="29"/>
      <c r="Q16" s="54"/>
      <c r="R16" s="29"/>
      <c r="S16" s="52"/>
      <c r="T16" s="52"/>
      <c r="U16" s="52"/>
      <c r="V16" s="52"/>
      <c r="W16" s="52"/>
      <c r="X16" s="25"/>
    </row>
    <row r="17" spans="1:24" ht="24.75" customHeight="1" thickBot="1">
      <c r="A17" s="25"/>
      <c r="B17" s="988"/>
      <c r="C17" s="275" t="s">
        <v>272</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75"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75" customHeight="1">
      <c r="A19" s="25"/>
      <c r="B19" s="986" t="s">
        <v>275</v>
      </c>
      <c r="C19" s="529" t="s">
        <v>270</v>
      </c>
      <c r="D19" s="534">
        <f>'5. Area Habitats'!P5</f>
        <v>0.46761831804100229</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75" customHeight="1">
      <c r="A20" s="25"/>
      <c r="B20" s="987"/>
      <c r="C20" s="530" t="s">
        <v>271</v>
      </c>
      <c r="D20" s="536">
        <f>'6. Hedges &amp; Lines of Trees'!P5</f>
        <v>7.8254443283999997E-2</v>
      </c>
      <c r="E20" s="537" t="str" cm="1">
        <f t="array" ref="E20">_xlfn.IFS(D20&gt;=F12,"✓",D20&lt;0,"▲", D20&lt;F12,"⚠")</f>
        <v>✓</v>
      </c>
      <c r="F20" s="493">
        <f t="shared" ref="F20:F21" si="0">F12/D12</f>
        <v>0.10000000000000002</v>
      </c>
      <c r="G20" s="29"/>
      <c r="H20" s="29"/>
      <c r="I20" s="29"/>
      <c r="J20" s="29"/>
      <c r="K20" s="29"/>
      <c r="L20" s="29"/>
      <c r="M20" s="29"/>
      <c r="N20" s="29"/>
      <c r="O20" s="29"/>
      <c r="P20" s="29"/>
      <c r="Q20" s="54"/>
      <c r="R20" s="29"/>
      <c r="S20" s="52"/>
      <c r="T20" s="52"/>
      <c r="U20" s="52"/>
      <c r="V20" s="52"/>
      <c r="W20" s="52"/>
      <c r="X20" s="25"/>
    </row>
    <row r="21" spans="1:24" ht="24.75" customHeight="1" thickBot="1">
      <c r="A21" s="25"/>
      <c r="B21" s="988"/>
      <c r="C21" s="531" t="s">
        <v>272</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75"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75" customHeight="1">
      <c r="A23" s="25"/>
      <c r="B23" s="740" t="s">
        <v>276</v>
      </c>
      <c r="C23" s="529" t="s">
        <v>270</v>
      </c>
      <c r="D23" s="538">
        <f>IF(D11="Zero Units Baseline","% target not appropriate",D19/D11)</f>
        <v>0.10044931919291447</v>
      </c>
      <c r="E23" s="539" t="str" cm="1">
        <f t="array" ref="E23">_xlfn.IFS(D23&gt;=F19,"✓",D23&lt;0,"▲", D23&lt;F19,"⚠")</f>
        <v>✓</v>
      </c>
      <c r="F23" s="491">
        <f>$D$23*100</f>
        <v>10.044931919291447</v>
      </c>
      <c r="G23" s="29"/>
      <c r="H23" s="29"/>
      <c r="I23" s="29"/>
      <c r="J23" s="29"/>
      <c r="K23" s="29"/>
      <c r="L23" s="29"/>
      <c r="M23" s="29"/>
      <c r="N23" s="29"/>
      <c r="O23" s="29"/>
      <c r="P23" s="29"/>
      <c r="Q23" s="54"/>
      <c r="R23" s="29"/>
      <c r="S23" s="52"/>
      <c r="T23" s="52"/>
      <c r="U23" s="52"/>
      <c r="V23" s="52"/>
      <c r="W23" s="52"/>
      <c r="X23" s="25"/>
    </row>
    <row r="24" spans="1:24" ht="24.75" customHeight="1">
      <c r="A24" s="25"/>
      <c r="B24" s="984"/>
      <c r="C24" s="530" t="s">
        <v>271</v>
      </c>
      <c r="D24" s="540">
        <f>IF(D12="Zero Units Baseline","% target not appropriate",D20/D12)</f>
        <v>0.10032620933846154</v>
      </c>
      <c r="E24" s="541" t="str" cm="1">
        <f t="array" ref="E24">_xlfn.IFS(D24&gt;=F20,"✓",D24&lt;0,"▲", D24&lt;F20,"⚠")</f>
        <v>✓</v>
      </c>
      <c r="F24" s="491">
        <f>$D$24*100</f>
        <v>10.032620933846154</v>
      </c>
      <c r="G24" s="29"/>
      <c r="H24" s="29"/>
      <c r="I24" s="29"/>
      <c r="J24" s="29"/>
      <c r="K24" s="29"/>
      <c r="L24" s="29"/>
      <c r="M24" s="29"/>
      <c r="N24" s="29"/>
      <c r="O24" s="29"/>
      <c r="P24" s="29"/>
      <c r="Q24" s="54"/>
      <c r="R24" s="29"/>
      <c r="S24" s="52"/>
      <c r="T24" s="52"/>
      <c r="U24" s="52"/>
      <c r="V24" s="52"/>
      <c r="W24" s="52"/>
      <c r="X24" s="25"/>
    </row>
    <row r="25" spans="1:24" ht="24.75" customHeight="1" thickBot="1">
      <c r="A25" s="25"/>
      <c r="B25" s="985"/>
      <c r="C25" s="531" t="s">
        <v>272</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75"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75" customHeight="1">
      <c r="A27" s="25"/>
      <c r="B27" s="993" t="s">
        <v>277</v>
      </c>
      <c r="C27" s="994"/>
      <c r="D27" s="996">
        <f>IFERROR(IF(D11="Zero Units Baseline",IF('2. Site Details'!D17&lt;=D15,0,'2. Site Details'!D17-D15),(IF((D11*(1+('2. Site Details'!D13/100)))-D15&lt;0,0,F15-D15))),"")</f>
        <v>0</v>
      </c>
      <c r="E27" s="997"/>
      <c r="F27" s="491"/>
      <c r="G27" s="29"/>
      <c r="H27" s="29"/>
      <c r="I27" s="29"/>
      <c r="J27" s="29"/>
      <c r="K27" s="29"/>
      <c r="L27" s="29"/>
      <c r="M27" s="29"/>
      <c r="N27" s="29"/>
      <c r="O27" s="29"/>
      <c r="P27" s="29"/>
      <c r="Q27" s="54"/>
      <c r="R27" s="29"/>
      <c r="S27" s="52"/>
      <c r="T27" s="52"/>
      <c r="U27" s="52"/>
      <c r="V27" s="52"/>
      <c r="W27" s="52"/>
      <c r="X27" s="25"/>
    </row>
    <row r="28" spans="1:24" ht="24.75" customHeight="1">
      <c r="A28" s="25"/>
      <c r="B28" s="991" t="s">
        <v>278</v>
      </c>
      <c r="C28" s="992"/>
      <c r="D28" s="998">
        <f>IFERROR(IF(D12="Zero Units Baseline",IF('2. Site Details'!D18&lt;=D16,0,'2. Site Details'!D18-D16),(IF((D12*(1+('2. Site Details'!D14/100)))-D16&lt;0,0,F16-D16))),"")</f>
        <v>0</v>
      </c>
      <c r="E28" s="999"/>
      <c r="F28" s="491"/>
      <c r="G28" s="159"/>
      <c r="H28" s="29"/>
      <c r="I28" s="29"/>
      <c r="J28" s="29"/>
      <c r="K28" s="29"/>
      <c r="L28" s="29"/>
      <c r="M28" s="29"/>
      <c r="N28" s="29"/>
      <c r="O28" s="29"/>
      <c r="P28" s="29"/>
      <c r="Q28" s="54"/>
      <c r="R28" s="29"/>
      <c r="S28" s="52"/>
      <c r="T28" s="52"/>
      <c r="U28" s="52"/>
      <c r="V28" s="52"/>
      <c r="W28" s="52"/>
      <c r="X28" s="25"/>
    </row>
    <row r="29" spans="1:24" ht="24.75" customHeight="1" thickBot="1">
      <c r="A29" s="25"/>
      <c r="B29" s="989" t="s">
        <v>279</v>
      </c>
      <c r="C29" s="990"/>
      <c r="D29" s="1000">
        <f>IFERROR(IF(D13="Zero Units Baseline",IF('2. Site Details'!D19&lt;=D17,0,'2. Site Details'!D19-D17),(IF((D13*(1+('2. Site Details'!D15/100)))-D17&lt;0,0,F17-D17))),"")</f>
        <v>0</v>
      </c>
      <c r="E29" s="1001"/>
      <c r="F29" s="491"/>
      <c r="G29" s="29"/>
      <c r="H29" s="29"/>
      <c r="I29" s="29"/>
      <c r="J29" s="29"/>
      <c r="K29" s="29"/>
      <c r="L29" s="29"/>
      <c r="M29" s="29"/>
      <c r="N29" s="29"/>
      <c r="O29" s="29"/>
      <c r="P29" s="29"/>
      <c r="Q29" s="54"/>
      <c r="R29" s="29"/>
      <c r="S29" s="52"/>
      <c r="T29" s="52"/>
      <c r="U29" s="52"/>
      <c r="V29" s="52"/>
      <c r="W29" s="52"/>
      <c r="X29" s="25"/>
    </row>
    <row r="30" spans="1:24" ht="10.35"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20.100000000000001"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45" customHeight="1">
      <c r="A33" s="25"/>
      <c r="B33" s="56" t="s">
        <v>280</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4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45" customHeight="1" thickBot="1">
      <c r="A35" s="29"/>
      <c r="B35" s="25"/>
      <c r="C35" s="25" t="s">
        <v>281</v>
      </c>
      <c r="D35" s="25" t="s">
        <v>282</v>
      </c>
      <c r="E35" s="52"/>
      <c r="F35" s="491"/>
      <c r="G35" s="25"/>
      <c r="H35" s="25"/>
      <c r="I35" s="25"/>
      <c r="J35" s="25"/>
      <c r="K35" s="25"/>
      <c r="L35" s="25"/>
      <c r="M35" s="25"/>
      <c r="N35" s="25"/>
      <c r="O35" s="25"/>
      <c r="P35" s="29"/>
      <c r="Q35" s="54"/>
      <c r="R35" s="29"/>
      <c r="S35" s="29"/>
      <c r="T35" s="29"/>
      <c r="U35" s="29"/>
      <c r="V35" s="29"/>
      <c r="W35" s="29"/>
      <c r="X35" s="29"/>
    </row>
    <row r="36" spans="1:24" ht="23.45" customHeight="1" thickBot="1">
      <c r="A36" s="25"/>
      <c r="B36" s="382" t="s">
        <v>270</v>
      </c>
      <c r="C36" s="51">
        <f>IF(D11="Zero Units Baseline",0,D11)</f>
        <v>4.6552661759999996</v>
      </c>
      <c r="D36" s="51">
        <f>D15</f>
        <v>5.1228844940410019</v>
      </c>
      <c r="E36" s="52"/>
      <c r="F36" s="491"/>
      <c r="G36" s="25"/>
      <c r="H36" s="25"/>
      <c r="I36" s="25"/>
      <c r="J36" s="25"/>
      <c r="K36" s="25"/>
      <c r="L36" s="25"/>
      <c r="M36" s="25"/>
      <c r="N36" s="25"/>
      <c r="O36" s="25"/>
      <c r="P36" s="25"/>
      <c r="Q36" s="54"/>
      <c r="R36" s="29"/>
      <c r="S36" s="29"/>
      <c r="T36" s="29"/>
      <c r="U36" s="29"/>
      <c r="V36" s="29"/>
      <c r="W36" s="29"/>
      <c r="X36" s="25"/>
    </row>
    <row r="37" spans="1:24" ht="23.45" customHeight="1" thickBot="1">
      <c r="A37" s="25"/>
      <c r="B37" s="382" t="s">
        <v>271</v>
      </c>
      <c r="C37" s="51">
        <f t="shared" ref="C37:C38" si="1">IF(D12="Zero Units Baseline",0,D12)</f>
        <v>0.78</v>
      </c>
      <c r="D37" s="51">
        <f t="shared" ref="D37:D38" si="2">D16</f>
        <v>0.85825444328400002</v>
      </c>
      <c r="E37" s="52"/>
      <c r="F37" s="491"/>
      <c r="G37" s="25"/>
      <c r="H37" s="25"/>
      <c r="I37" s="25"/>
      <c r="J37" s="25"/>
      <c r="K37" s="25"/>
      <c r="L37" s="25"/>
      <c r="M37" s="25"/>
      <c r="N37" s="25"/>
      <c r="O37" s="25"/>
      <c r="P37" s="25"/>
      <c r="Q37" s="54"/>
      <c r="R37" s="29"/>
      <c r="S37" s="29"/>
      <c r="T37" s="29"/>
      <c r="U37" s="29"/>
      <c r="V37" s="29"/>
      <c r="W37" s="29"/>
      <c r="X37" s="25"/>
    </row>
    <row r="38" spans="1:24" ht="23.45" customHeight="1">
      <c r="A38" s="25"/>
      <c r="B38" s="382" t="s">
        <v>283</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4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4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4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4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4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4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75"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75"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75"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75"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75"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75"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75"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75"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75"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75"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4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45" hidden="1" customHeight="1">
      <c r="A65" s="25"/>
      <c r="B65" s="981" t="s">
        <v>284</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45" hidden="1" customHeight="1">
      <c r="A66" s="25"/>
      <c r="B66" s="981"/>
      <c r="C66" s="157"/>
      <c r="D66" s="25"/>
      <c r="E66" s="25"/>
      <c r="F66" s="490"/>
      <c r="G66" s="128"/>
      <c r="H66" s="128"/>
      <c r="I66" s="128"/>
      <c r="J66" s="128"/>
      <c r="K66" s="25"/>
      <c r="L66" s="25"/>
      <c r="M66" s="25"/>
      <c r="N66" s="25"/>
      <c r="O66" s="25"/>
      <c r="P66" s="25"/>
      <c r="Q66" s="25"/>
      <c r="R66" s="25"/>
      <c r="S66" s="25"/>
      <c r="T66" s="25"/>
      <c r="U66" s="25"/>
      <c r="V66" s="25"/>
      <c r="W66" s="25"/>
      <c r="X66" s="25"/>
    </row>
    <row r="67" spans="1:24" ht="14.45" hidden="1" customHeight="1">
      <c r="A67" s="25"/>
      <c r="B67" s="982"/>
      <c r="C67" s="25"/>
      <c r="D67" s="25"/>
      <c r="E67" s="25"/>
      <c r="F67" s="490"/>
      <c r="G67" s="128"/>
      <c r="H67" s="128"/>
      <c r="I67" s="128"/>
      <c r="J67" s="128"/>
      <c r="K67" s="25"/>
      <c r="L67" s="25"/>
      <c r="M67" s="25"/>
      <c r="N67" s="25"/>
      <c r="O67" s="25"/>
      <c r="P67" s="25"/>
      <c r="Q67" s="25"/>
      <c r="R67" s="25"/>
      <c r="S67" s="25"/>
      <c r="T67" s="25"/>
      <c r="U67" s="25"/>
      <c r="V67" s="25"/>
      <c r="W67" s="25"/>
      <c r="X67" s="25"/>
    </row>
    <row r="68" spans="1:24" ht="14.45" hidden="1" customHeight="1">
      <c r="A68" s="25"/>
      <c r="B68" s="982"/>
      <c r="C68" s="25"/>
      <c r="D68" s="25"/>
      <c r="E68" s="25"/>
      <c r="F68" s="490"/>
      <c r="G68" s="128"/>
      <c r="H68" s="128"/>
      <c r="I68" s="128"/>
      <c r="J68" s="128"/>
      <c r="K68" s="25"/>
      <c r="L68" s="25"/>
      <c r="M68" s="25"/>
      <c r="N68" s="25"/>
      <c r="O68" s="25"/>
      <c r="P68" s="25"/>
      <c r="Q68" s="25"/>
      <c r="R68" s="25"/>
      <c r="S68" s="25"/>
      <c r="T68" s="25"/>
      <c r="U68" s="25"/>
      <c r="V68" s="25"/>
      <c r="W68" s="25"/>
      <c r="X68" s="25"/>
    </row>
    <row r="69" spans="1:24" ht="14.4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4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45" hidden="1" customHeight="1"/>
    <row r="72" spans="1:24" ht="14.45" hidden="1" customHeight="1"/>
    <row r="73" spans="1:24" ht="14.45" hidden="1" customHeight="1"/>
    <row r="74" spans="1:24" ht="14.45" hidden="1" customHeight="1"/>
  </sheetData>
  <sheetProtection algorithmName="SHA-512" hashValue="CPWHtAMF7SpnvrSWv0Sibkx3QVUJmsj+Ii7g8fJDF6Cc3cwRYHkCPqCssri2ubNlRlpAjOubpKNTS7vGtFyCeQ==" saltValue="zAp2uNto8KEFoOhQkgDSfg=="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0" defaultRowHeight="15" zeroHeight="1"/>
  <cols>
    <col min="1" max="2" width="8.85546875" customWidth="1"/>
    <col min="3" max="3" width="78.42578125" bestFit="1" customWidth="1"/>
    <col min="4" max="4" width="28.42578125" style="18" customWidth="1"/>
    <col min="5" max="5" width="14.42578125" hidden="1" customWidth="1"/>
    <col min="6" max="6" width="18.42578125" hidden="1" customWidth="1"/>
    <col min="7" max="7" width="15.85546875" style="18" customWidth="1"/>
    <col min="8" max="8" width="34.42578125" style="20" customWidth="1"/>
    <col min="9" max="9" width="13" customWidth="1"/>
    <col min="10" max="10" width="12.85546875" bestFit="1" customWidth="1"/>
    <col min="11" max="11" width="23.85546875" hidden="1" customWidth="1"/>
    <col min="12" max="25" width="8.85546875" customWidth="1"/>
    <col min="26" max="16384" width="8.85546875" hidden="1"/>
  </cols>
  <sheetData>
    <row r="1" spans="1:25" ht="26.25" customHeight="1" thickBot="1">
      <c r="A1" s="25"/>
      <c r="B1" s="1013" t="s">
        <v>285</v>
      </c>
      <c r="C1" s="1014"/>
      <c r="D1" s="1014"/>
      <c r="E1" s="1014"/>
      <c r="F1" s="1014"/>
      <c r="G1" s="1014"/>
      <c r="H1" s="1014"/>
      <c r="I1" s="1014"/>
      <c r="J1" s="1015"/>
      <c r="K1" s="219">
        <v>9</v>
      </c>
      <c r="L1" s="25"/>
      <c r="M1" s="25"/>
      <c r="N1" s="25"/>
      <c r="O1" s="25"/>
      <c r="P1" s="25"/>
      <c r="Q1" s="25"/>
      <c r="R1" s="25"/>
      <c r="S1" s="25"/>
      <c r="T1" s="25"/>
      <c r="U1" s="25"/>
      <c r="V1" s="25"/>
      <c r="W1" s="25"/>
      <c r="X1" s="25"/>
      <c r="Y1" s="25"/>
    </row>
    <row r="2" spans="1:25" ht="18.75">
      <c r="A2" s="25"/>
      <c r="B2" s="1011" t="s">
        <v>49</v>
      </c>
      <c r="C2" s="1008" t="s">
        <v>258</v>
      </c>
      <c r="D2" s="1008"/>
      <c r="E2" s="1008"/>
      <c r="F2" s="1008"/>
      <c r="G2" s="1009" t="s">
        <v>85</v>
      </c>
      <c r="H2" s="1009"/>
      <c r="I2" s="1010" t="s">
        <v>286</v>
      </c>
      <c r="J2" s="1010"/>
      <c r="K2" s="129" t="s">
        <v>287</v>
      </c>
      <c r="L2" s="25"/>
      <c r="M2" s="25"/>
      <c r="N2" s="25"/>
      <c r="O2" s="25"/>
      <c r="P2" s="25"/>
      <c r="Q2" s="25"/>
      <c r="R2" s="25"/>
      <c r="S2" s="25"/>
      <c r="T2" s="25"/>
      <c r="U2" s="25"/>
      <c r="V2" s="25"/>
      <c r="W2" s="25"/>
      <c r="X2" s="25"/>
      <c r="Y2" s="25"/>
    </row>
    <row r="3" spans="1:25" ht="60">
      <c r="A3" s="25"/>
      <c r="B3" s="1012"/>
      <c r="C3" s="130" t="s">
        <v>258</v>
      </c>
      <c r="D3" s="130" t="s">
        <v>288</v>
      </c>
      <c r="E3" s="130" t="s">
        <v>289</v>
      </c>
      <c r="F3" s="130" t="s">
        <v>290</v>
      </c>
      <c r="G3" s="276" t="s">
        <v>291</v>
      </c>
      <c r="H3" s="276" t="s">
        <v>292</v>
      </c>
      <c r="I3" s="62" t="s">
        <v>293</v>
      </c>
      <c r="J3" s="62" t="s">
        <v>294</v>
      </c>
      <c r="K3" s="131" t="s">
        <v>295</v>
      </c>
      <c r="L3" s="25"/>
      <c r="M3" s="25"/>
      <c r="N3" s="25"/>
      <c r="O3" s="25"/>
      <c r="P3" s="25"/>
      <c r="Q3" s="25"/>
      <c r="R3" s="25"/>
      <c r="S3" s="25"/>
      <c r="T3" s="25"/>
      <c r="U3" s="25"/>
      <c r="V3" s="25"/>
      <c r="W3" s="25"/>
      <c r="X3" s="25"/>
      <c r="Y3" s="25"/>
    </row>
    <row r="4" spans="1:25" ht="30">
      <c r="A4" s="25"/>
      <c r="B4" s="7">
        <v>1</v>
      </c>
      <c r="C4" s="7" t="s">
        <v>296</v>
      </c>
      <c r="D4" s="7" t="s">
        <v>202</v>
      </c>
      <c r="E4" s="7"/>
      <c r="F4" s="7"/>
      <c r="G4" s="9" t="s">
        <v>205</v>
      </c>
      <c r="H4" s="9" t="s">
        <v>297</v>
      </c>
      <c r="I4" s="9" t="s">
        <v>203</v>
      </c>
      <c r="J4" s="9" t="s">
        <v>203</v>
      </c>
      <c r="K4" s="7" t="s">
        <v>203</v>
      </c>
      <c r="L4" s="25"/>
      <c r="M4" s="25"/>
      <c r="N4" s="25"/>
      <c r="O4" s="25"/>
      <c r="P4" s="25"/>
      <c r="Q4" s="25"/>
      <c r="R4" s="25"/>
      <c r="S4" s="25"/>
      <c r="T4" s="25"/>
      <c r="U4" s="25"/>
      <c r="V4" s="25"/>
      <c r="W4" s="25"/>
      <c r="X4" s="25"/>
      <c r="Y4" s="25"/>
    </row>
    <row r="5" spans="1:25" ht="30">
      <c r="A5" s="25"/>
      <c r="B5" s="7">
        <v>2</v>
      </c>
      <c r="C5" s="7" t="s">
        <v>298</v>
      </c>
      <c r="D5" s="7" t="s">
        <v>202</v>
      </c>
      <c r="E5" s="7"/>
      <c r="F5" s="7"/>
      <c r="G5" s="9" t="s">
        <v>205</v>
      </c>
      <c r="H5" s="9" t="s">
        <v>297</v>
      </c>
      <c r="I5" s="9" t="s">
        <v>203</v>
      </c>
      <c r="J5" s="9" t="s">
        <v>203</v>
      </c>
      <c r="K5" s="7" t="s">
        <v>203</v>
      </c>
      <c r="L5" s="25"/>
      <c r="M5" s="25"/>
      <c r="N5" s="25"/>
      <c r="O5" s="25"/>
      <c r="P5" s="25"/>
      <c r="Q5" s="25"/>
      <c r="R5" s="25"/>
      <c r="S5" s="25"/>
      <c r="T5" s="25"/>
      <c r="U5" s="25"/>
      <c r="V5" s="25"/>
      <c r="W5" s="25"/>
      <c r="X5" s="25"/>
      <c r="Y5" s="25"/>
    </row>
    <row r="6" spans="1:25" ht="30">
      <c r="A6" s="25"/>
      <c r="B6" s="7">
        <v>3</v>
      </c>
      <c r="C6" s="7" t="s">
        <v>299</v>
      </c>
      <c r="D6" s="7" t="s">
        <v>202</v>
      </c>
      <c r="E6" s="7"/>
      <c r="F6" s="7"/>
      <c r="G6" s="9" t="s">
        <v>205</v>
      </c>
      <c r="H6" s="9" t="s">
        <v>297</v>
      </c>
      <c r="I6" s="9" t="s">
        <v>203</v>
      </c>
      <c r="J6" s="9" t="s">
        <v>203</v>
      </c>
      <c r="K6" s="7" t="s">
        <v>203</v>
      </c>
      <c r="L6" s="25"/>
      <c r="M6" s="25"/>
      <c r="N6" s="25"/>
      <c r="O6" s="25"/>
      <c r="P6" s="25"/>
      <c r="Q6" s="25"/>
      <c r="R6" s="25"/>
      <c r="S6" s="25"/>
      <c r="T6" s="25"/>
      <c r="U6" s="25"/>
      <c r="V6" s="25"/>
      <c r="W6" s="25"/>
      <c r="X6" s="25"/>
      <c r="Y6" s="25"/>
    </row>
    <row r="7" spans="1:25" ht="30">
      <c r="A7" s="25"/>
      <c r="B7" s="7">
        <v>4</v>
      </c>
      <c r="C7" s="7" t="s">
        <v>300</v>
      </c>
      <c r="D7" s="7" t="s">
        <v>202</v>
      </c>
      <c r="E7" s="7"/>
      <c r="F7" s="7"/>
      <c r="G7" s="9" t="s">
        <v>205</v>
      </c>
      <c r="H7" s="9" t="s">
        <v>297</v>
      </c>
      <c r="I7" s="9" t="s">
        <v>203</v>
      </c>
      <c r="J7" s="9" t="s">
        <v>203</v>
      </c>
      <c r="K7" s="7" t="s">
        <v>203</v>
      </c>
      <c r="L7" s="25"/>
      <c r="M7" s="25"/>
      <c r="N7" s="25"/>
      <c r="O7" s="25"/>
      <c r="P7" s="25"/>
      <c r="Q7" s="25"/>
      <c r="R7" s="25"/>
      <c r="S7" s="25"/>
      <c r="T7" s="25"/>
      <c r="U7" s="25"/>
      <c r="V7" s="25"/>
      <c r="W7" s="25"/>
      <c r="X7" s="25"/>
      <c r="Y7" s="25"/>
    </row>
    <row r="8" spans="1:25" ht="30">
      <c r="A8" s="25"/>
      <c r="B8" s="7">
        <v>5</v>
      </c>
      <c r="C8" s="7" t="s">
        <v>301</v>
      </c>
      <c r="D8" s="7" t="s">
        <v>202</v>
      </c>
      <c r="E8" s="7"/>
      <c r="F8" s="7"/>
      <c r="G8" s="9" t="s">
        <v>203</v>
      </c>
      <c r="H8" s="9" t="s">
        <v>302</v>
      </c>
      <c r="I8" s="9" t="s">
        <v>203</v>
      </c>
      <c r="J8" s="9" t="s">
        <v>203</v>
      </c>
      <c r="K8" s="7" t="s">
        <v>203</v>
      </c>
      <c r="L8" s="25"/>
      <c r="M8" s="25"/>
      <c r="N8" s="25"/>
      <c r="O8" s="25"/>
      <c r="P8" s="25"/>
      <c r="Q8" s="25"/>
      <c r="R8" s="25"/>
      <c r="S8" s="25"/>
      <c r="T8" s="25"/>
      <c r="U8" s="25"/>
      <c r="V8" s="25"/>
      <c r="W8" s="25"/>
      <c r="X8" s="25"/>
      <c r="Y8" s="25"/>
    </row>
    <row r="9" spans="1:25" ht="30">
      <c r="A9" s="25"/>
      <c r="B9" s="7">
        <f>B8+1</f>
        <v>6</v>
      </c>
      <c r="C9" s="7" t="s">
        <v>303</v>
      </c>
      <c r="D9" s="7" t="s">
        <v>202</v>
      </c>
      <c r="E9" s="7"/>
      <c r="F9" s="7"/>
      <c r="G9" s="9" t="s">
        <v>203</v>
      </c>
      <c r="H9" s="9" t="s">
        <v>302</v>
      </c>
      <c r="I9" s="9" t="s">
        <v>203</v>
      </c>
      <c r="J9" s="9" t="s">
        <v>203</v>
      </c>
      <c r="K9" s="7" t="s">
        <v>203</v>
      </c>
      <c r="L9" s="25"/>
      <c r="M9" s="25"/>
      <c r="N9" s="25"/>
      <c r="O9" s="25"/>
      <c r="P9" s="25"/>
      <c r="Q9" s="25"/>
      <c r="R9" s="25"/>
      <c r="S9" s="25"/>
      <c r="T9" s="25"/>
      <c r="U9" s="25"/>
      <c r="V9" s="25"/>
      <c r="W9" s="25"/>
      <c r="X9" s="25"/>
      <c r="Y9" s="25"/>
    </row>
    <row r="10" spans="1:25" ht="30">
      <c r="A10" s="25"/>
      <c r="B10" s="7">
        <f t="shared" ref="B10:B76" si="0">B9+1</f>
        <v>7</v>
      </c>
      <c r="C10" s="7" t="s">
        <v>304</v>
      </c>
      <c r="D10" s="7" t="s">
        <v>202</v>
      </c>
      <c r="E10" s="7"/>
      <c r="F10" s="7"/>
      <c r="G10" s="9" t="s">
        <v>203</v>
      </c>
      <c r="H10" s="9" t="s">
        <v>302</v>
      </c>
      <c r="I10" s="9" t="s">
        <v>203</v>
      </c>
      <c r="J10" s="9" t="s">
        <v>203</v>
      </c>
      <c r="K10" s="7" t="s">
        <v>203</v>
      </c>
      <c r="L10" s="25"/>
      <c r="M10" s="25"/>
      <c r="N10" s="25"/>
      <c r="O10" s="25"/>
      <c r="P10" s="25"/>
      <c r="Q10" s="25"/>
      <c r="R10" s="25"/>
      <c r="S10" s="25"/>
      <c r="T10" s="25"/>
      <c r="U10" s="25"/>
      <c r="V10" s="25"/>
      <c r="W10" s="25"/>
      <c r="X10" s="25"/>
      <c r="Y10" s="25"/>
    </row>
    <row r="11" spans="1:25" ht="30">
      <c r="A11" s="25"/>
      <c r="B11" s="7">
        <f t="shared" si="0"/>
        <v>8</v>
      </c>
      <c r="C11" s="7" t="s">
        <v>305</v>
      </c>
      <c r="D11" s="7" t="s">
        <v>202</v>
      </c>
      <c r="E11" s="7"/>
      <c r="F11" s="7"/>
      <c r="G11" s="9" t="s">
        <v>203</v>
      </c>
      <c r="H11" s="9" t="s">
        <v>302</v>
      </c>
      <c r="I11" s="9" t="s">
        <v>203</v>
      </c>
      <c r="J11" s="9" t="s">
        <v>203</v>
      </c>
      <c r="K11" s="7" t="s">
        <v>203</v>
      </c>
      <c r="L11" s="25"/>
      <c r="M11" s="25"/>
      <c r="N11" s="25"/>
      <c r="O11" s="25"/>
      <c r="P11" s="25"/>
      <c r="Q11" s="25"/>
      <c r="R11" s="25"/>
      <c r="S11" s="25"/>
      <c r="T11" s="25"/>
      <c r="U11" s="25"/>
      <c r="V11" s="25"/>
      <c r="W11" s="25"/>
      <c r="X11" s="25"/>
      <c r="Y11" s="25"/>
    </row>
    <row r="12" spans="1:25" ht="30">
      <c r="A12" s="25"/>
      <c r="B12" s="7">
        <f t="shared" si="0"/>
        <v>9</v>
      </c>
      <c r="C12" s="7" t="s">
        <v>306</v>
      </c>
      <c r="D12" s="7" t="s">
        <v>202</v>
      </c>
      <c r="E12" s="7"/>
      <c r="F12" s="7"/>
      <c r="G12" s="9" t="s">
        <v>203</v>
      </c>
      <c r="H12" s="9" t="s">
        <v>302</v>
      </c>
      <c r="I12" s="9" t="s">
        <v>203</v>
      </c>
      <c r="J12" s="9" t="s">
        <v>203</v>
      </c>
      <c r="K12" s="7" t="s">
        <v>203</v>
      </c>
      <c r="L12" s="25"/>
      <c r="M12" s="25"/>
      <c r="N12" s="25"/>
      <c r="O12" s="25"/>
      <c r="P12" s="25"/>
      <c r="Q12" s="25"/>
      <c r="R12" s="25"/>
      <c r="S12" s="25"/>
      <c r="T12" s="25"/>
      <c r="U12" s="25"/>
      <c r="V12" s="25"/>
      <c r="W12" s="25"/>
      <c r="X12" s="25"/>
      <c r="Y12" s="25"/>
    </row>
    <row r="13" spans="1:25" ht="30">
      <c r="A13" s="25"/>
      <c r="B13" s="7">
        <f t="shared" si="0"/>
        <v>10</v>
      </c>
      <c r="C13" s="7" t="s">
        <v>307</v>
      </c>
      <c r="D13" s="7" t="s">
        <v>202</v>
      </c>
      <c r="E13" s="7"/>
      <c r="F13" s="7"/>
      <c r="G13" s="9" t="s">
        <v>203</v>
      </c>
      <c r="H13" s="9" t="s">
        <v>302</v>
      </c>
      <c r="I13" s="9" t="s">
        <v>203</v>
      </c>
      <c r="J13" s="9" t="s">
        <v>203</v>
      </c>
      <c r="K13" s="7" t="s">
        <v>203</v>
      </c>
      <c r="L13" s="25"/>
      <c r="M13" s="25"/>
      <c r="N13" s="25"/>
      <c r="O13" s="25"/>
      <c r="P13" s="25"/>
      <c r="Q13" s="25"/>
      <c r="R13" s="25"/>
      <c r="S13" s="25"/>
      <c r="T13" s="25"/>
      <c r="U13" s="25"/>
      <c r="V13" s="25"/>
      <c r="W13" s="25"/>
      <c r="X13" s="25"/>
      <c r="Y13" s="25"/>
    </row>
    <row r="14" spans="1:25" ht="30">
      <c r="A14" s="25"/>
      <c r="B14" s="7">
        <f t="shared" si="0"/>
        <v>11</v>
      </c>
      <c r="C14" s="7" t="s">
        <v>308</v>
      </c>
      <c r="D14" s="7" t="s">
        <v>206</v>
      </c>
      <c r="E14" s="7"/>
      <c r="F14" s="7"/>
      <c r="G14" s="9" t="s">
        <v>203</v>
      </c>
      <c r="H14" s="9" t="s">
        <v>302</v>
      </c>
      <c r="I14" s="9" t="s">
        <v>203</v>
      </c>
      <c r="J14" s="9" t="s">
        <v>203</v>
      </c>
      <c r="K14" s="7" t="s">
        <v>203</v>
      </c>
      <c r="L14" s="25"/>
      <c r="M14" s="25"/>
      <c r="N14" s="25"/>
      <c r="O14" s="25"/>
      <c r="P14" s="25"/>
      <c r="Q14" s="25"/>
      <c r="R14" s="25"/>
      <c r="S14" s="25"/>
      <c r="T14" s="25"/>
      <c r="U14" s="25"/>
      <c r="V14" s="25"/>
      <c r="W14" s="25"/>
      <c r="X14" s="25"/>
      <c r="Y14" s="25"/>
    </row>
    <row r="15" spans="1:25" ht="30">
      <c r="A15" s="25"/>
      <c r="B15" s="7">
        <f t="shared" si="0"/>
        <v>12</v>
      </c>
      <c r="C15" s="7" t="s">
        <v>309</v>
      </c>
      <c r="D15" s="7" t="s">
        <v>206</v>
      </c>
      <c r="E15" s="7"/>
      <c r="F15" s="7"/>
      <c r="G15" s="9" t="s">
        <v>203</v>
      </c>
      <c r="H15" s="9" t="s">
        <v>302</v>
      </c>
      <c r="I15" s="9" t="s">
        <v>203</v>
      </c>
      <c r="J15" s="9" t="s">
        <v>203</v>
      </c>
      <c r="K15" s="7" t="s">
        <v>203</v>
      </c>
      <c r="L15" s="25"/>
      <c r="M15" s="25"/>
      <c r="N15" s="25"/>
      <c r="O15" s="25"/>
      <c r="P15" s="25"/>
      <c r="Q15" s="25"/>
      <c r="R15" s="25"/>
      <c r="S15" s="25"/>
      <c r="T15" s="25"/>
      <c r="U15" s="25"/>
      <c r="V15" s="25"/>
      <c r="W15" s="25"/>
      <c r="X15" s="25"/>
      <c r="Y15" s="25"/>
    </row>
    <row r="16" spans="1:25" ht="30">
      <c r="A16" s="25"/>
      <c r="B16" s="7">
        <f t="shared" si="0"/>
        <v>13</v>
      </c>
      <c r="C16" s="7" t="s">
        <v>310</v>
      </c>
      <c r="D16" s="7" t="s">
        <v>206</v>
      </c>
      <c r="E16" s="7"/>
      <c r="F16" s="7"/>
      <c r="G16" s="9" t="s">
        <v>205</v>
      </c>
      <c r="H16" s="9" t="s">
        <v>297</v>
      </c>
      <c r="I16" s="9" t="s">
        <v>203</v>
      </c>
      <c r="J16" s="9" t="s">
        <v>203</v>
      </c>
      <c r="K16" s="7" t="s">
        <v>203</v>
      </c>
      <c r="L16" s="25"/>
      <c r="M16" s="25"/>
      <c r="N16" s="25"/>
      <c r="O16" s="25"/>
      <c r="P16" s="25"/>
      <c r="Q16" s="25"/>
      <c r="R16" s="25"/>
      <c r="S16" s="25"/>
      <c r="T16" s="25"/>
      <c r="U16" s="25"/>
      <c r="V16" s="25"/>
      <c r="W16" s="25"/>
      <c r="X16" s="25"/>
      <c r="Y16" s="25"/>
    </row>
    <row r="17" spans="1:25" ht="30">
      <c r="A17" s="25"/>
      <c r="B17" s="7">
        <f t="shared" si="0"/>
        <v>14</v>
      </c>
      <c r="C17" s="7" t="s">
        <v>311</v>
      </c>
      <c r="D17" s="7" t="s">
        <v>206</v>
      </c>
      <c r="E17" s="7"/>
      <c r="F17" s="7"/>
      <c r="G17" s="9" t="s">
        <v>205</v>
      </c>
      <c r="H17" s="9" t="s">
        <v>297</v>
      </c>
      <c r="I17" s="9" t="s">
        <v>203</v>
      </c>
      <c r="J17" s="9" t="s">
        <v>203</v>
      </c>
      <c r="K17" s="7" t="s">
        <v>203</v>
      </c>
      <c r="L17" s="25"/>
      <c r="M17" s="25"/>
      <c r="N17" s="25"/>
      <c r="O17" s="25"/>
      <c r="P17" s="25"/>
      <c r="Q17" s="25"/>
      <c r="R17" s="25"/>
      <c r="S17" s="25"/>
      <c r="T17" s="25"/>
      <c r="U17" s="25"/>
      <c r="V17" s="25"/>
      <c r="W17" s="25"/>
      <c r="X17" s="25"/>
      <c r="Y17" s="25"/>
    </row>
    <row r="18" spans="1:25" ht="30">
      <c r="A18" s="25"/>
      <c r="B18" s="7">
        <f t="shared" si="0"/>
        <v>15</v>
      </c>
      <c r="C18" s="7" t="s">
        <v>312</v>
      </c>
      <c r="D18" s="7" t="s">
        <v>206</v>
      </c>
      <c r="E18" s="7"/>
      <c r="F18" s="7"/>
      <c r="G18" s="9" t="s">
        <v>205</v>
      </c>
      <c r="H18" s="9" t="s">
        <v>297</v>
      </c>
      <c r="I18" s="9" t="s">
        <v>203</v>
      </c>
      <c r="J18" s="9" t="s">
        <v>203</v>
      </c>
      <c r="K18" s="7" t="s">
        <v>203</v>
      </c>
      <c r="L18" s="25"/>
      <c r="M18" s="25"/>
      <c r="N18" s="25"/>
      <c r="O18" s="25"/>
      <c r="P18" s="25"/>
      <c r="Q18" s="25"/>
      <c r="R18" s="25"/>
      <c r="S18" s="25"/>
      <c r="T18" s="25"/>
      <c r="U18" s="25"/>
      <c r="V18" s="25"/>
      <c r="W18" s="25"/>
      <c r="X18" s="25"/>
      <c r="Y18" s="25"/>
    </row>
    <row r="19" spans="1:25" ht="30">
      <c r="A19" s="25"/>
      <c r="B19" s="7">
        <f t="shared" si="0"/>
        <v>16</v>
      </c>
      <c r="C19" s="7" t="s">
        <v>313</v>
      </c>
      <c r="D19" s="7" t="s">
        <v>207</v>
      </c>
      <c r="E19" s="7"/>
      <c r="F19" s="7"/>
      <c r="G19" s="9" t="s">
        <v>205</v>
      </c>
      <c r="H19" s="9" t="s">
        <v>297</v>
      </c>
      <c r="I19" s="9" t="s">
        <v>203</v>
      </c>
      <c r="J19" s="9" t="s">
        <v>203</v>
      </c>
      <c r="K19" s="7" t="s">
        <v>203</v>
      </c>
      <c r="L19" s="25"/>
      <c r="M19" s="25"/>
      <c r="N19" s="25"/>
      <c r="O19" s="25"/>
      <c r="P19" s="25"/>
      <c r="Q19" s="25"/>
      <c r="R19" s="25"/>
      <c r="S19" s="25"/>
      <c r="T19" s="25"/>
      <c r="U19" s="25"/>
      <c r="V19" s="25"/>
      <c r="W19" s="25"/>
      <c r="X19" s="25"/>
      <c r="Y19" s="25"/>
    </row>
    <row r="20" spans="1:25" ht="30">
      <c r="A20" s="25"/>
      <c r="B20" s="7">
        <f t="shared" si="0"/>
        <v>17</v>
      </c>
      <c r="C20" s="7" t="s">
        <v>314</v>
      </c>
      <c r="D20" s="7" t="s">
        <v>207</v>
      </c>
      <c r="E20" s="7"/>
      <c r="F20" s="7"/>
      <c r="G20" s="9" t="s">
        <v>205</v>
      </c>
      <c r="H20" s="9" t="s">
        <v>297</v>
      </c>
      <c r="I20" s="9" t="s">
        <v>203</v>
      </c>
      <c r="J20" s="9" t="s">
        <v>203</v>
      </c>
      <c r="K20" s="7" t="s">
        <v>203</v>
      </c>
      <c r="L20" s="25"/>
      <c r="M20" s="25"/>
      <c r="N20" s="25"/>
      <c r="O20" s="25"/>
      <c r="P20" s="25"/>
      <c r="Q20" s="25"/>
      <c r="R20" s="25"/>
      <c r="S20" s="25"/>
      <c r="T20" s="25"/>
      <c r="U20" s="25"/>
      <c r="V20" s="25"/>
      <c r="W20" s="25"/>
      <c r="X20" s="25"/>
      <c r="Y20" s="25"/>
    </row>
    <row r="21" spans="1:25" ht="30">
      <c r="A21" s="25"/>
      <c r="B21" s="7">
        <f t="shared" si="0"/>
        <v>18</v>
      </c>
      <c r="C21" s="7" t="s">
        <v>315</v>
      </c>
      <c r="D21" s="7" t="s">
        <v>207</v>
      </c>
      <c r="E21" s="7"/>
      <c r="F21" s="7"/>
      <c r="G21" s="9" t="s">
        <v>205</v>
      </c>
      <c r="H21" s="9" t="s">
        <v>297</v>
      </c>
      <c r="I21" s="9" t="s">
        <v>203</v>
      </c>
      <c r="J21" s="9" t="s">
        <v>203</v>
      </c>
      <c r="K21" s="7" t="s">
        <v>203</v>
      </c>
      <c r="L21" s="25"/>
      <c r="M21" s="25"/>
      <c r="N21" s="25"/>
      <c r="O21" s="25"/>
      <c r="P21" s="25"/>
      <c r="Q21" s="25"/>
      <c r="R21" s="25"/>
      <c r="S21" s="25"/>
      <c r="T21" s="25"/>
      <c r="U21" s="25"/>
      <c r="V21" s="25"/>
      <c r="W21" s="25"/>
      <c r="X21" s="25"/>
      <c r="Y21" s="25"/>
    </row>
    <row r="22" spans="1:25" ht="30">
      <c r="A22" s="25"/>
      <c r="B22" s="7">
        <f t="shared" si="0"/>
        <v>19</v>
      </c>
      <c r="C22" s="7" t="s">
        <v>316</v>
      </c>
      <c r="D22" s="7" t="s">
        <v>207</v>
      </c>
      <c r="E22" s="7"/>
      <c r="F22" s="7"/>
      <c r="G22" s="9" t="s">
        <v>205</v>
      </c>
      <c r="H22" s="9" t="s">
        <v>297</v>
      </c>
      <c r="I22" s="9" t="s">
        <v>203</v>
      </c>
      <c r="J22" s="9" t="s">
        <v>203</v>
      </c>
      <c r="K22" s="7" t="s">
        <v>203</v>
      </c>
      <c r="L22" s="25"/>
      <c r="M22" s="25"/>
      <c r="N22" s="25"/>
      <c r="O22" s="25"/>
      <c r="P22" s="25"/>
      <c r="Q22" s="25"/>
      <c r="R22" s="25"/>
      <c r="S22" s="25"/>
      <c r="T22" s="25"/>
      <c r="U22" s="25"/>
      <c r="V22" s="25"/>
      <c r="W22" s="25"/>
      <c r="X22" s="25"/>
      <c r="Y22" s="25"/>
    </row>
    <row r="23" spans="1:25" ht="30">
      <c r="A23" s="25"/>
      <c r="B23" s="7">
        <f t="shared" si="0"/>
        <v>20</v>
      </c>
      <c r="C23" s="7" t="s">
        <v>317</v>
      </c>
      <c r="D23" s="7" t="s">
        <v>207</v>
      </c>
      <c r="E23" s="7"/>
      <c r="F23" s="7"/>
      <c r="G23" s="9" t="s">
        <v>205</v>
      </c>
      <c r="H23" s="9" t="s">
        <v>297</v>
      </c>
      <c r="I23" s="9" t="s">
        <v>205</v>
      </c>
      <c r="J23" s="9" t="s">
        <v>203</v>
      </c>
      <c r="K23" s="7" t="s">
        <v>203</v>
      </c>
      <c r="L23" s="25"/>
      <c r="M23" s="25"/>
      <c r="N23" s="25"/>
      <c r="O23" s="25"/>
      <c r="P23" s="25"/>
      <c r="Q23" s="25"/>
      <c r="R23" s="25"/>
      <c r="S23" s="25"/>
      <c r="T23" s="25"/>
      <c r="U23" s="25"/>
      <c r="V23" s="25"/>
      <c r="W23" s="25"/>
      <c r="X23" s="25"/>
      <c r="Y23" s="25"/>
    </row>
    <row r="24" spans="1:25" ht="30">
      <c r="A24" s="25"/>
      <c r="B24" s="7">
        <f t="shared" si="0"/>
        <v>21</v>
      </c>
      <c r="C24" s="7" t="s">
        <v>318</v>
      </c>
      <c r="D24" s="7" t="s">
        <v>207</v>
      </c>
      <c r="E24" s="7"/>
      <c r="F24" s="7"/>
      <c r="G24" s="9" t="s">
        <v>205</v>
      </c>
      <c r="H24" s="9" t="s">
        <v>297</v>
      </c>
      <c r="I24" s="9" t="s">
        <v>203</v>
      </c>
      <c r="J24" s="9" t="s">
        <v>203</v>
      </c>
      <c r="K24" s="7" t="s">
        <v>203</v>
      </c>
      <c r="L24" s="25"/>
      <c r="M24" s="25"/>
      <c r="N24" s="25"/>
      <c r="O24" s="25"/>
      <c r="P24" s="25"/>
      <c r="Q24" s="25"/>
      <c r="R24" s="25"/>
      <c r="S24" s="25"/>
      <c r="T24" s="25"/>
      <c r="U24" s="25"/>
      <c r="V24" s="25"/>
      <c r="W24" s="25"/>
      <c r="X24" s="25"/>
      <c r="Y24" s="25"/>
    </row>
    <row r="25" spans="1:25" ht="30">
      <c r="A25" s="25"/>
      <c r="B25" s="7">
        <f t="shared" si="0"/>
        <v>22</v>
      </c>
      <c r="C25" s="7" t="s">
        <v>319</v>
      </c>
      <c r="D25" s="7" t="s">
        <v>207</v>
      </c>
      <c r="E25" s="7"/>
      <c r="F25" s="7"/>
      <c r="G25" s="9" t="s">
        <v>203</v>
      </c>
      <c r="H25" s="9" t="s">
        <v>302</v>
      </c>
      <c r="I25" s="9" t="s">
        <v>203</v>
      </c>
      <c r="J25" s="9" t="s">
        <v>203</v>
      </c>
      <c r="K25" s="7" t="s">
        <v>203</v>
      </c>
      <c r="L25" s="25"/>
      <c r="M25" s="25"/>
      <c r="N25" s="25"/>
      <c r="O25" s="25"/>
      <c r="P25" s="25"/>
      <c r="Q25" s="25"/>
      <c r="R25" s="25"/>
      <c r="S25" s="25"/>
      <c r="T25" s="25"/>
      <c r="U25" s="25"/>
      <c r="V25" s="25"/>
      <c r="W25" s="25"/>
      <c r="X25" s="25"/>
      <c r="Y25" s="25"/>
    </row>
    <row r="26" spans="1:25" ht="30">
      <c r="A26" s="25"/>
      <c r="B26" s="7">
        <f>B25+1</f>
        <v>23</v>
      </c>
      <c r="C26" s="7" t="s">
        <v>320</v>
      </c>
      <c r="D26" s="7" t="s">
        <v>207</v>
      </c>
      <c r="E26" s="7"/>
      <c r="F26" s="7"/>
      <c r="G26" s="9" t="s">
        <v>203</v>
      </c>
      <c r="H26" s="9" t="s">
        <v>302</v>
      </c>
      <c r="I26" s="9" t="s">
        <v>203</v>
      </c>
      <c r="J26" s="9" t="s">
        <v>203</v>
      </c>
      <c r="K26" s="7" t="s">
        <v>203</v>
      </c>
      <c r="L26" s="25"/>
      <c r="M26" s="25"/>
      <c r="N26" s="25"/>
      <c r="O26" s="25"/>
      <c r="P26" s="25"/>
      <c r="Q26" s="25"/>
      <c r="R26" s="25"/>
      <c r="S26" s="25"/>
      <c r="T26" s="25"/>
      <c r="U26" s="25"/>
      <c r="V26" s="25"/>
      <c r="W26" s="25"/>
      <c r="X26" s="25"/>
      <c r="Y26" s="25"/>
    </row>
    <row r="27" spans="1:25" ht="29.25" customHeight="1">
      <c r="A27" s="25"/>
      <c r="B27" s="7">
        <f>B26+1</f>
        <v>24</v>
      </c>
      <c r="C27" s="7" t="s">
        <v>321</v>
      </c>
      <c r="D27" s="7" t="s">
        <v>207</v>
      </c>
      <c r="E27" s="7"/>
      <c r="F27" s="7"/>
      <c r="G27" s="9" t="s">
        <v>205</v>
      </c>
      <c r="H27" s="9" t="s">
        <v>297</v>
      </c>
      <c r="I27" s="9" t="s">
        <v>205</v>
      </c>
      <c r="J27" s="9" t="s">
        <v>203</v>
      </c>
      <c r="K27" s="7"/>
      <c r="L27" s="25"/>
      <c r="M27" s="25"/>
      <c r="N27" s="25"/>
      <c r="O27" s="25"/>
      <c r="P27" s="25"/>
      <c r="Q27" s="25"/>
      <c r="R27" s="25"/>
      <c r="S27" s="25"/>
      <c r="T27" s="25"/>
      <c r="U27" s="25"/>
      <c r="V27" s="25"/>
      <c r="W27" s="25"/>
      <c r="X27" s="25"/>
      <c r="Y27" s="25"/>
    </row>
    <row r="28" spans="1:25" ht="29.25" customHeight="1">
      <c r="A28" s="25"/>
      <c r="B28" s="7">
        <f>B27+1</f>
        <v>25</v>
      </c>
      <c r="C28" s="7" t="s">
        <v>322</v>
      </c>
      <c r="D28" s="7" t="s">
        <v>210</v>
      </c>
      <c r="E28" s="7"/>
      <c r="F28" s="7"/>
      <c r="G28" s="9" t="s">
        <v>203</v>
      </c>
      <c r="H28" s="9" t="s">
        <v>302</v>
      </c>
      <c r="I28" s="9" t="s">
        <v>203</v>
      </c>
      <c r="J28" s="9" t="s">
        <v>323</v>
      </c>
      <c r="K28" s="7" t="s">
        <v>203</v>
      </c>
      <c r="L28" s="25"/>
      <c r="M28" s="25"/>
      <c r="N28" s="25"/>
      <c r="O28" s="25"/>
      <c r="P28" s="25"/>
      <c r="Q28" s="25"/>
      <c r="R28" s="25"/>
      <c r="S28" s="25"/>
      <c r="T28" s="25"/>
      <c r="U28" s="25"/>
      <c r="V28" s="25"/>
      <c r="W28" s="25"/>
      <c r="X28" s="25"/>
      <c r="Y28" s="25"/>
    </row>
    <row r="29" spans="1:25" ht="30">
      <c r="A29" s="25"/>
      <c r="B29" s="7">
        <f t="shared" si="0"/>
        <v>26</v>
      </c>
      <c r="C29" s="7" t="s">
        <v>324</v>
      </c>
      <c r="D29" s="7" t="s">
        <v>210</v>
      </c>
      <c r="E29" s="7"/>
      <c r="F29" s="7"/>
      <c r="G29" s="9" t="s">
        <v>205</v>
      </c>
      <c r="H29" s="9" t="s">
        <v>297</v>
      </c>
      <c r="I29" s="9" t="s">
        <v>203</v>
      </c>
      <c r="J29" s="9" t="s">
        <v>205</v>
      </c>
      <c r="K29" s="7" t="s">
        <v>203</v>
      </c>
      <c r="L29" s="25"/>
      <c r="M29" s="25"/>
      <c r="N29" s="25"/>
      <c r="O29" s="25"/>
      <c r="P29" s="25"/>
      <c r="Q29" s="25"/>
      <c r="R29" s="25"/>
      <c r="S29" s="25"/>
      <c r="T29" s="25"/>
      <c r="U29" s="25"/>
      <c r="V29" s="25"/>
      <c r="W29" s="25"/>
      <c r="X29" s="25"/>
      <c r="Y29" s="25"/>
    </row>
    <row r="30" spans="1:25" ht="30">
      <c r="A30" s="25"/>
      <c r="B30" s="7">
        <f t="shared" si="0"/>
        <v>27</v>
      </c>
      <c r="C30" s="7" t="s">
        <v>325</v>
      </c>
      <c r="D30" s="7" t="s">
        <v>210</v>
      </c>
      <c r="E30" s="7"/>
      <c r="F30" s="7"/>
      <c r="G30" s="9" t="s">
        <v>205</v>
      </c>
      <c r="H30" s="9" t="s">
        <v>297</v>
      </c>
      <c r="I30" s="9" t="s">
        <v>205</v>
      </c>
      <c r="J30" s="9" t="s">
        <v>205</v>
      </c>
      <c r="K30" s="7" t="s">
        <v>203</v>
      </c>
      <c r="L30" s="25"/>
      <c r="M30" s="25"/>
      <c r="N30" s="25"/>
      <c r="O30" s="25"/>
      <c r="P30" s="25"/>
      <c r="Q30" s="25"/>
      <c r="R30" s="25"/>
      <c r="S30" s="25"/>
      <c r="T30" s="25"/>
      <c r="U30" s="25"/>
      <c r="V30" s="25"/>
      <c r="W30" s="25"/>
      <c r="X30" s="25"/>
      <c r="Y30" s="25"/>
    </row>
    <row r="31" spans="1:25" ht="30">
      <c r="A31" s="25"/>
      <c r="B31" s="7">
        <f t="shared" si="0"/>
        <v>28</v>
      </c>
      <c r="C31" s="7" t="s">
        <v>326</v>
      </c>
      <c r="D31" s="7" t="s">
        <v>211</v>
      </c>
      <c r="E31" s="7"/>
      <c r="F31" s="7"/>
      <c r="G31" s="9" t="s">
        <v>203</v>
      </c>
      <c r="H31" s="9" t="s">
        <v>302</v>
      </c>
      <c r="I31" s="9" t="s">
        <v>203</v>
      </c>
      <c r="J31" s="9" t="s">
        <v>205</v>
      </c>
      <c r="K31" s="7" t="s">
        <v>203</v>
      </c>
      <c r="L31" s="25"/>
      <c r="M31" s="25"/>
      <c r="N31" s="25"/>
      <c r="O31" s="25"/>
      <c r="P31" s="25"/>
      <c r="Q31" s="25"/>
      <c r="R31" s="25"/>
      <c r="S31" s="25"/>
      <c r="T31" s="25"/>
      <c r="U31" s="25"/>
      <c r="V31" s="25"/>
      <c r="W31" s="25"/>
      <c r="X31" s="25"/>
      <c r="Y31" s="25"/>
    </row>
    <row r="32" spans="1:25" ht="30">
      <c r="A32" s="25"/>
      <c r="B32" s="7">
        <f t="shared" si="0"/>
        <v>29</v>
      </c>
      <c r="C32" s="7" t="s">
        <v>327</v>
      </c>
      <c r="D32" s="7" t="s">
        <v>211</v>
      </c>
      <c r="E32" s="7"/>
      <c r="F32" s="7"/>
      <c r="G32" s="9" t="s">
        <v>205</v>
      </c>
      <c r="H32" s="9" t="s">
        <v>297</v>
      </c>
      <c r="I32" s="9" t="s">
        <v>205</v>
      </c>
      <c r="J32" s="9" t="s">
        <v>205</v>
      </c>
      <c r="K32" s="7" t="s">
        <v>203</v>
      </c>
      <c r="L32" s="25"/>
      <c r="M32" s="25"/>
      <c r="N32" s="25"/>
      <c r="O32" s="25"/>
      <c r="P32" s="25"/>
      <c r="Q32" s="25"/>
      <c r="R32" s="25"/>
      <c r="S32" s="25"/>
      <c r="T32" s="25"/>
      <c r="U32" s="25"/>
      <c r="V32" s="25"/>
      <c r="W32" s="25"/>
      <c r="X32" s="25"/>
      <c r="Y32" s="25"/>
    </row>
    <row r="33" spans="1:25" ht="29.45" customHeight="1">
      <c r="A33" s="25"/>
      <c r="B33" s="7">
        <f t="shared" si="0"/>
        <v>30</v>
      </c>
      <c r="C33" s="7" t="s">
        <v>328</v>
      </c>
      <c r="D33" s="7" t="s">
        <v>211</v>
      </c>
      <c r="E33" s="7"/>
      <c r="F33" s="7"/>
      <c r="G33" s="9" t="s">
        <v>203</v>
      </c>
      <c r="H33" s="9" t="s">
        <v>302</v>
      </c>
      <c r="I33" s="9" t="s">
        <v>203</v>
      </c>
      <c r="J33" s="9" t="s">
        <v>205</v>
      </c>
      <c r="K33" s="7"/>
      <c r="L33" s="25"/>
      <c r="M33" s="25"/>
      <c r="N33" s="25"/>
      <c r="O33" s="25"/>
      <c r="P33" s="25"/>
      <c r="Q33" s="25"/>
      <c r="R33" s="25"/>
      <c r="S33" s="25"/>
      <c r="T33" s="25"/>
      <c r="U33" s="25"/>
      <c r="V33" s="25"/>
      <c r="W33" s="25"/>
      <c r="X33" s="25"/>
      <c r="Y33" s="25"/>
    </row>
    <row r="34" spans="1:25" ht="30">
      <c r="A34" s="25"/>
      <c r="B34" s="7">
        <f>B33+1</f>
        <v>31</v>
      </c>
      <c r="C34" s="7" t="s">
        <v>329</v>
      </c>
      <c r="D34" s="7" t="s">
        <v>212</v>
      </c>
      <c r="E34" s="7"/>
      <c r="F34" s="7"/>
      <c r="G34" s="9" t="s">
        <v>203</v>
      </c>
      <c r="H34" s="9" t="s">
        <v>302</v>
      </c>
      <c r="I34" s="9" t="s">
        <v>203</v>
      </c>
      <c r="J34" s="9" t="s">
        <v>203</v>
      </c>
      <c r="K34" s="7" t="s">
        <v>203</v>
      </c>
      <c r="L34" s="25"/>
      <c r="M34" s="25"/>
      <c r="N34" s="25"/>
      <c r="O34" s="25"/>
      <c r="P34" s="25"/>
      <c r="Q34" s="25"/>
      <c r="R34" s="25"/>
      <c r="S34" s="25"/>
      <c r="T34" s="25"/>
      <c r="U34" s="25"/>
      <c r="V34" s="25"/>
      <c r="W34" s="25"/>
      <c r="X34" s="25"/>
      <c r="Y34" s="25"/>
    </row>
    <row r="35" spans="1:25" ht="27.95" customHeight="1">
      <c r="A35" s="25"/>
      <c r="B35" s="7">
        <f t="shared" si="0"/>
        <v>32</v>
      </c>
      <c r="C35" s="7" t="s">
        <v>330</v>
      </c>
      <c r="D35" s="7" t="s">
        <v>212</v>
      </c>
      <c r="E35" s="7"/>
      <c r="F35" s="7"/>
      <c r="G35" s="9" t="s">
        <v>331</v>
      </c>
      <c r="H35" s="9" t="s">
        <v>332</v>
      </c>
      <c r="I35" s="9" t="s">
        <v>203</v>
      </c>
      <c r="J35" s="9" t="s">
        <v>203</v>
      </c>
      <c r="K35" s="7" t="s">
        <v>203</v>
      </c>
      <c r="L35" s="25"/>
      <c r="M35" s="25"/>
      <c r="N35" s="25"/>
      <c r="O35" s="25"/>
      <c r="P35" s="25"/>
      <c r="Q35" s="25"/>
      <c r="R35" s="25"/>
      <c r="S35" s="25"/>
      <c r="T35" s="25"/>
      <c r="U35" s="25"/>
      <c r="V35" s="25"/>
      <c r="W35" s="25"/>
      <c r="X35" s="25"/>
      <c r="Y35" s="25"/>
    </row>
    <row r="36" spans="1:25" ht="30">
      <c r="A36" s="25"/>
      <c r="B36" s="7">
        <f t="shared" si="0"/>
        <v>33</v>
      </c>
      <c r="C36" s="7" t="s">
        <v>333</v>
      </c>
      <c r="D36" s="7" t="s">
        <v>212</v>
      </c>
      <c r="E36" s="7"/>
      <c r="F36" s="7"/>
      <c r="G36" s="9" t="s">
        <v>203</v>
      </c>
      <c r="H36" s="9" t="s">
        <v>302</v>
      </c>
      <c r="I36" s="9" t="s">
        <v>205</v>
      </c>
      <c r="J36" s="9" t="s">
        <v>203</v>
      </c>
      <c r="K36" s="7" t="s">
        <v>203</v>
      </c>
      <c r="L36" s="25"/>
      <c r="M36" s="25"/>
      <c r="N36" s="25"/>
      <c r="O36" s="25"/>
      <c r="P36" s="25"/>
      <c r="Q36" s="25"/>
      <c r="R36" s="25"/>
      <c r="S36" s="25"/>
      <c r="T36" s="25"/>
      <c r="U36" s="25"/>
      <c r="V36" s="25"/>
      <c r="W36" s="25"/>
      <c r="X36" s="25"/>
      <c r="Y36" s="25"/>
    </row>
    <row r="37" spans="1:25" ht="30">
      <c r="A37" s="25"/>
      <c r="B37" s="7">
        <f t="shared" si="0"/>
        <v>34</v>
      </c>
      <c r="C37" s="7" t="s">
        <v>334</v>
      </c>
      <c r="D37" s="7" t="s">
        <v>212</v>
      </c>
      <c r="E37" s="7"/>
      <c r="F37" s="7"/>
      <c r="G37" s="9" t="s">
        <v>205</v>
      </c>
      <c r="H37" s="9" t="s">
        <v>297</v>
      </c>
      <c r="I37" s="9" t="s">
        <v>205</v>
      </c>
      <c r="J37" s="9" t="s">
        <v>205</v>
      </c>
      <c r="K37" s="7" t="s">
        <v>203</v>
      </c>
      <c r="L37" s="25"/>
      <c r="M37" s="25"/>
      <c r="N37" s="25"/>
      <c r="O37" s="25"/>
      <c r="P37" s="25"/>
      <c r="Q37" s="25"/>
      <c r="R37" s="25"/>
      <c r="S37" s="25"/>
      <c r="T37" s="25"/>
      <c r="U37" s="25"/>
      <c r="V37" s="25"/>
      <c r="W37" s="25"/>
      <c r="X37" s="25"/>
      <c r="Y37" s="25"/>
    </row>
    <row r="38" spans="1:25" ht="29.25" customHeight="1">
      <c r="A38" s="25"/>
      <c r="B38" s="7">
        <f t="shared" si="0"/>
        <v>35</v>
      </c>
      <c r="C38" s="7" t="s">
        <v>335</v>
      </c>
      <c r="D38" s="7" t="s">
        <v>212</v>
      </c>
      <c r="E38" s="7"/>
      <c r="F38" s="7"/>
      <c r="G38" s="9" t="s">
        <v>331</v>
      </c>
      <c r="H38" s="9" t="s">
        <v>332</v>
      </c>
      <c r="I38" s="9" t="s">
        <v>203</v>
      </c>
      <c r="J38" s="9" t="s">
        <v>203</v>
      </c>
      <c r="K38" s="7" t="s">
        <v>203</v>
      </c>
      <c r="L38" s="25"/>
      <c r="M38" s="25"/>
      <c r="N38" s="25"/>
      <c r="O38" s="25"/>
      <c r="P38" s="25"/>
      <c r="Q38" s="25"/>
      <c r="R38" s="25"/>
      <c r="S38" s="25"/>
      <c r="T38" s="25"/>
      <c r="U38" s="25"/>
      <c r="V38" s="25"/>
      <c r="W38" s="25"/>
      <c r="X38" s="25"/>
      <c r="Y38" s="25"/>
    </row>
    <row r="39" spans="1:25" ht="30">
      <c r="A39" s="25"/>
      <c r="B39" s="7">
        <f t="shared" si="0"/>
        <v>36</v>
      </c>
      <c r="C39" s="7" t="s">
        <v>336</v>
      </c>
      <c r="D39" s="7" t="s">
        <v>212</v>
      </c>
      <c r="E39" s="7"/>
      <c r="F39" s="7"/>
      <c r="G39" s="9" t="s">
        <v>205</v>
      </c>
      <c r="H39" s="9" t="s">
        <v>297</v>
      </c>
      <c r="I39" s="9" t="s">
        <v>205</v>
      </c>
      <c r="J39" s="9" t="s">
        <v>203</v>
      </c>
      <c r="K39" s="7" t="s">
        <v>203</v>
      </c>
      <c r="L39" s="25"/>
      <c r="M39" s="25"/>
      <c r="N39" s="25"/>
      <c r="O39" s="25"/>
      <c r="P39" s="25"/>
      <c r="Q39" s="25"/>
      <c r="R39" s="25"/>
      <c r="S39" s="25"/>
      <c r="T39" s="25"/>
      <c r="U39" s="25"/>
      <c r="V39" s="25"/>
      <c r="W39" s="25"/>
      <c r="X39" s="25"/>
      <c r="Y39" s="25"/>
    </row>
    <row r="40" spans="1:25" ht="29.45" customHeight="1">
      <c r="A40" s="25"/>
      <c r="B40" s="7">
        <f t="shared" si="0"/>
        <v>37</v>
      </c>
      <c r="C40" s="7" t="s">
        <v>337</v>
      </c>
      <c r="D40" s="7" t="s">
        <v>212</v>
      </c>
      <c r="E40" s="7"/>
      <c r="F40" s="7"/>
      <c r="G40" s="9" t="s">
        <v>331</v>
      </c>
      <c r="H40" s="9" t="s">
        <v>332</v>
      </c>
      <c r="I40" s="9" t="s">
        <v>203</v>
      </c>
      <c r="J40" s="9" t="s">
        <v>203</v>
      </c>
      <c r="K40" s="7" t="s">
        <v>203</v>
      </c>
      <c r="L40" s="25"/>
      <c r="M40" s="25"/>
      <c r="N40" s="25"/>
      <c r="O40" s="25"/>
      <c r="P40" s="25"/>
      <c r="Q40" s="25"/>
      <c r="R40" s="25"/>
      <c r="S40" s="25"/>
      <c r="T40" s="25"/>
      <c r="U40" s="25"/>
      <c r="V40" s="25"/>
      <c r="W40" s="25"/>
      <c r="X40" s="25"/>
      <c r="Y40" s="25"/>
    </row>
    <row r="41" spans="1:25" ht="30">
      <c r="A41" s="25"/>
      <c r="B41" s="7">
        <f t="shared" si="0"/>
        <v>38</v>
      </c>
      <c r="C41" s="7" t="s">
        <v>338</v>
      </c>
      <c r="D41" s="7" t="s">
        <v>212</v>
      </c>
      <c r="E41" s="7"/>
      <c r="F41" s="7"/>
      <c r="G41" s="9" t="s">
        <v>203</v>
      </c>
      <c r="H41" s="9" t="s">
        <v>302</v>
      </c>
      <c r="I41" s="9" t="s">
        <v>203</v>
      </c>
      <c r="J41" s="9" t="s">
        <v>203</v>
      </c>
      <c r="K41" s="7" t="s">
        <v>203</v>
      </c>
      <c r="L41" s="25"/>
      <c r="M41" s="25"/>
      <c r="N41" s="25"/>
      <c r="O41" s="25"/>
      <c r="P41" s="25"/>
      <c r="Q41" s="25"/>
      <c r="R41" s="25"/>
      <c r="S41" s="25"/>
      <c r="T41" s="25"/>
      <c r="U41" s="25"/>
      <c r="V41" s="25"/>
      <c r="W41" s="25"/>
      <c r="X41" s="25"/>
      <c r="Y41" s="25"/>
    </row>
    <row r="42" spans="1:25" ht="30">
      <c r="A42" s="25"/>
      <c r="B42" s="7">
        <f t="shared" si="0"/>
        <v>39</v>
      </c>
      <c r="C42" s="7" t="s">
        <v>339</v>
      </c>
      <c r="D42" s="7" t="s">
        <v>212</v>
      </c>
      <c r="E42" s="7"/>
      <c r="F42" s="7"/>
      <c r="G42" s="9" t="s">
        <v>203</v>
      </c>
      <c r="H42" s="9" t="s">
        <v>302</v>
      </c>
      <c r="I42" s="9" t="s">
        <v>205</v>
      </c>
      <c r="J42" s="9" t="s">
        <v>205</v>
      </c>
      <c r="K42" s="7" t="s">
        <v>203</v>
      </c>
      <c r="L42" s="25"/>
      <c r="M42" s="25"/>
      <c r="N42" s="25"/>
      <c r="O42" s="25"/>
      <c r="P42" s="25"/>
      <c r="Q42" s="25"/>
      <c r="R42" s="25"/>
      <c r="S42" s="25"/>
      <c r="T42" s="25"/>
      <c r="U42" s="25"/>
      <c r="V42" s="25"/>
      <c r="W42" s="25"/>
      <c r="X42" s="25"/>
      <c r="Y42" s="25"/>
    </row>
    <row r="43" spans="1:25" ht="30">
      <c r="A43" s="25"/>
      <c r="B43" s="7">
        <f t="shared" si="0"/>
        <v>40</v>
      </c>
      <c r="C43" s="7" t="s">
        <v>340</v>
      </c>
      <c r="D43" s="7" t="s">
        <v>212</v>
      </c>
      <c r="E43" s="7"/>
      <c r="F43" s="7"/>
      <c r="G43" s="9" t="s">
        <v>203</v>
      </c>
      <c r="H43" s="9" t="s">
        <v>302</v>
      </c>
      <c r="I43" s="9" t="s">
        <v>205</v>
      </c>
      <c r="J43" s="9" t="s">
        <v>205</v>
      </c>
      <c r="K43" s="7" t="s">
        <v>203</v>
      </c>
      <c r="L43" s="25"/>
      <c r="M43" s="25"/>
      <c r="N43" s="25"/>
      <c r="O43" s="25"/>
      <c r="P43" s="25"/>
      <c r="Q43" s="25"/>
      <c r="R43" s="25"/>
      <c r="S43" s="25"/>
      <c r="T43" s="25"/>
      <c r="U43" s="25"/>
      <c r="V43" s="25"/>
      <c r="W43" s="25"/>
      <c r="X43" s="25"/>
      <c r="Y43" s="25"/>
    </row>
    <row r="44" spans="1:25" ht="30">
      <c r="A44" s="25"/>
      <c r="B44" s="7">
        <f t="shared" si="0"/>
        <v>41</v>
      </c>
      <c r="C44" s="7" t="s">
        <v>341</v>
      </c>
      <c r="D44" s="7" t="s">
        <v>212</v>
      </c>
      <c r="E44" s="7"/>
      <c r="F44" s="7"/>
      <c r="G44" s="9" t="s">
        <v>203</v>
      </c>
      <c r="H44" s="9" t="s">
        <v>302</v>
      </c>
      <c r="I44" s="9" t="s">
        <v>203</v>
      </c>
      <c r="J44" s="9" t="s">
        <v>203</v>
      </c>
      <c r="K44" s="7" t="s">
        <v>203</v>
      </c>
      <c r="L44" s="25"/>
      <c r="M44" s="25"/>
      <c r="N44" s="25"/>
      <c r="O44" s="25"/>
      <c r="P44" s="25"/>
      <c r="Q44" s="25"/>
      <c r="R44" s="25"/>
      <c r="S44" s="25"/>
      <c r="T44" s="25"/>
      <c r="U44" s="25"/>
      <c r="V44" s="25"/>
      <c r="W44" s="25"/>
      <c r="X44" s="25"/>
      <c r="Y44" s="25"/>
    </row>
    <row r="45" spans="1:25" ht="30">
      <c r="A45" s="25"/>
      <c r="B45" s="7">
        <f t="shared" si="0"/>
        <v>42</v>
      </c>
      <c r="C45" s="7" t="s">
        <v>342</v>
      </c>
      <c r="D45" s="7" t="s">
        <v>212</v>
      </c>
      <c r="E45" s="7"/>
      <c r="F45" s="7"/>
      <c r="G45" s="9" t="s">
        <v>203</v>
      </c>
      <c r="H45" s="9" t="s">
        <v>302</v>
      </c>
      <c r="I45" s="9" t="s">
        <v>203</v>
      </c>
      <c r="J45" s="9" t="s">
        <v>203</v>
      </c>
      <c r="K45" s="7" t="s">
        <v>203</v>
      </c>
      <c r="L45" s="25"/>
      <c r="M45" s="25"/>
      <c r="N45" s="25"/>
      <c r="O45" s="25"/>
      <c r="P45" s="25"/>
      <c r="Q45" s="25"/>
      <c r="R45" s="25"/>
      <c r="S45" s="25"/>
      <c r="T45" s="25"/>
      <c r="U45" s="25"/>
      <c r="V45" s="25"/>
      <c r="W45" s="25"/>
      <c r="X45" s="25"/>
      <c r="Y45" s="25"/>
    </row>
    <row r="46" spans="1:25" ht="30">
      <c r="A46" s="25"/>
      <c r="B46" s="7">
        <f t="shared" si="0"/>
        <v>43</v>
      </c>
      <c r="C46" s="7" t="s">
        <v>343</v>
      </c>
      <c r="D46" s="7" t="s">
        <v>212</v>
      </c>
      <c r="E46" s="7"/>
      <c r="F46" s="7"/>
      <c r="G46" s="9" t="s">
        <v>203</v>
      </c>
      <c r="H46" s="9" t="s">
        <v>302</v>
      </c>
      <c r="I46" s="9" t="s">
        <v>203</v>
      </c>
      <c r="J46" s="9" t="s">
        <v>203</v>
      </c>
      <c r="K46" s="7" t="s">
        <v>203</v>
      </c>
      <c r="L46" s="25"/>
      <c r="M46" s="25"/>
      <c r="N46" s="25"/>
      <c r="O46" s="25"/>
      <c r="P46" s="25"/>
      <c r="Q46" s="25"/>
      <c r="R46" s="25"/>
      <c r="S46" s="25"/>
      <c r="T46" s="25"/>
      <c r="U46" s="25"/>
      <c r="V46" s="25"/>
      <c r="W46" s="25"/>
      <c r="X46" s="25"/>
      <c r="Y46" s="25"/>
    </row>
    <row r="47" spans="1:25" ht="30">
      <c r="A47" s="25"/>
      <c r="B47" s="7">
        <f t="shared" si="0"/>
        <v>44</v>
      </c>
      <c r="C47" s="7" t="s">
        <v>344</v>
      </c>
      <c r="D47" s="7" t="s">
        <v>212</v>
      </c>
      <c r="E47" s="7"/>
      <c r="F47" s="7"/>
      <c r="G47" s="9" t="s">
        <v>203</v>
      </c>
      <c r="H47" s="9" t="s">
        <v>302</v>
      </c>
      <c r="I47" s="9" t="s">
        <v>203</v>
      </c>
      <c r="J47" s="9" t="s">
        <v>203</v>
      </c>
      <c r="K47" s="7" t="s">
        <v>203</v>
      </c>
      <c r="L47" s="25"/>
      <c r="M47" s="25"/>
      <c r="N47" s="25"/>
      <c r="O47" s="25"/>
      <c r="P47" s="25"/>
      <c r="Q47" s="25"/>
      <c r="R47" s="25"/>
      <c r="S47" s="25"/>
      <c r="T47" s="25"/>
      <c r="U47" s="25"/>
      <c r="V47" s="25"/>
      <c r="W47" s="25"/>
      <c r="X47" s="25"/>
      <c r="Y47" s="25"/>
    </row>
    <row r="48" spans="1:25" ht="30">
      <c r="A48" s="25"/>
      <c r="B48" s="7">
        <f t="shared" si="0"/>
        <v>45</v>
      </c>
      <c r="C48" s="7" t="s">
        <v>345</v>
      </c>
      <c r="D48" s="7" t="s">
        <v>212</v>
      </c>
      <c r="E48" s="7"/>
      <c r="F48" s="7"/>
      <c r="G48" s="9" t="s">
        <v>203</v>
      </c>
      <c r="H48" s="9" t="s">
        <v>302</v>
      </c>
      <c r="I48" s="9" t="s">
        <v>203</v>
      </c>
      <c r="J48" s="9" t="s">
        <v>203</v>
      </c>
      <c r="K48" s="7" t="s">
        <v>203</v>
      </c>
      <c r="L48" s="25"/>
      <c r="M48" s="25"/>
      <c r="N48" s="25"/>
      <c r="O48" s="25"/>
      <c r="P48" s="25"/>
      <c r="Q48" s="25"/>
      <c r="R48" s="25"/>
      <c r="S48" s="25"/>
      <c r="T48" s="25"/>
      <c r="U48" s="25"/>
      <c r="V48" s="25"/>
      <c r="W48" s="25"/>
      <c r="X48" s="25"/>
      <c r="Y48" s="25"/>
    </row>
    <row r="49" spans="1:25" ht="30">
      <c r="A49" s="25"/>
      <c r="B49" s="7">
        <f t="shared" si="0"/>
        <v>46</v>
      </c>
      <c r="C49" s="7" t="s">
        <v>94</v>
      </c>
      <c r="D49" s="7" t="s">
        <v>93</v>
      </c>
      <c r="E49" s="7"/>
      <c r="F49" s="7"/>
      <c r="G49" s="9" t="s">
        <v>205</v>
      </c>
      <c r="H49" s="9" t="s">
        <v>297</v>
      </c>
      <c r="I49" s="9" t="s">
        <v>203</v>
      </c>
      <c r="J49" s="9" t="s">
        <v>203</v>
      </c>
      <c r="K49" s="7" t="s">
        <v>203</v>
      </c>
      <c r="L49" s="25"/>
      <c r="M49" s="25"/>
      <c r="N49" s="25"/>
      <c r="O49" s="25"/>
      <c r="P49" s="25"/>
      <c r="Q49" s="25"/>
      <c r="R49" s="25"/>
      <c r="S49" s="25"/>
      <c r="T49" s="25"/>
      <c r="U49" s="25"/>
      <c r="V49" s="25"/>
      <c r="W49" s="25"/>
      <c r="X49" s="25"/>
      <c r="Y49" s="25"/>
    </row>
    <row r="50" spans="1:25" ht="30">
      <c r="A50" s="25"/>
      <c r="B50" s="7">
        <f t="shared" si="0"/>
        <v>47</v>
      </c>
      <c r="C50" s="7" t="s">
        <v>346</v>
      </c>
      <c r="D50" s="7" t="s">
        <v>212</v>
      </c>
      <c r="E50" s="7"/>
      <c r="F50" s="7"/>
      <c r="G50" s="9" t="s">
        <v>203</v>
      </c>
      <c r="H50" s="9" t="s">
        <v>302</v>
      </c>
      <c r="I50" s="9" t="s">
        <v>205</v>
      </c>
      <c r="J50" s="9" t="s">
        <v>205</v>
      </c>
      <c r="K50" s="7" t="s">
        <v>203</v>
      </c>
      <c r="L50" s="25"/>
      <c r="M50" s="25"/>
      <c r="N50" s="25"/>
      <c r="O50" s="25"/>
      <c r="P50" s="25"/>
      <c r="Q50" s="25"/>
      <c r="R50" s="25"/>
      <c r="S50" s="25"/>
      <c r="T50" s="25"/>
      <c r="U50" s="25"/>
      <c r="V50" s="25"/>
      <c r="W50" s="25"/>
      <c r="X50" s="25"/>
      <c r="Y50" s="25"/>
    </row>
    <row r="51" spans="1:25" ht="29.45" customHeight="1">
      <c r="A51" s="25"/>
      <c r="B51" s="7">
        <f t="shared" si="0"/>
        <v>48</v>
      </c>
      <c r="C51" s="7" t="s">
        <v>347</v>
      </c>
      <c r="D51" s="7" t="s">
        <v>212</v>
      </c>
      <c r="E51" s="7"/>
      <c r="F51" s="7"/>
      <c r="G51" s="9" t="s">
        <v>331</v>
      </c>
      <c r="H51" s="9" t="s">
        <v>332</v>
      </c>
      <c r="I51" s="9" t="s">
        <v>203</v>
      </c>
      <c r="J51" s="9" t="s">
        <v>203</v>
      </c>
      <c r="K51" s="7" t="s">
        <v>203</v>
      </c>
      <c r="L51" s="25"/>
      <c r="M51" s="25"/>
      <c r="N51" s="25"/>
      <c r="O51" s="25"/>
      <c r="P51" s="25"/>
      <c r="Q51" s="25"/>
      <c r="R51" s="25"/>
      <c r="S51" s="25"/>
      <c r="T51" s="25"/>
      <c r="U51" s="25"/>
      <c r="V51" s="25"/>
      <c r="W51" s="25"/>
      <c r="X51" s="25"/>
      <c r="Y51" s="25"/>
    </row>
    <row r="52" spans="1:25" ht="30">
      <c r="A52" s="25"/>
      <c r="B52" s="7">
        <f t="shared" si="0"/>
        <v>49</v>
      </c>
      <c r="C52" s="7" t="s">
        <v>348</v>
      </c>
      <c r="D52" s="7" t="s">
        <v>212</v>
      </c>
      <c r="E52" s="7"/>
      <c r="F52" s="7"/>
      <c r="G52" s="9" t="s">
        <v>203</v>
      </c>
      <c r="H52" s="9" t="s">
        <v>302</v>
      </c>
      <c r="I52" s="9" t="s">
        <v>203</v>
      </c>
      <c r="J52" s="9" t="s">
        <v>203</v>
      </c>
      <c r="K52" s="7" t="s">
        <v>203</v>
      </c>
      <c r="L52" s="25"/>
      <c r="M52" s="25"/>
      <c r="N52" s="25"/>
      <c r="O52" s="25"/>
      <c r="P52" s="25"/>
      <c r="Q52" s="25"/>
      <c r="R52" s="25"/>
      <c r="S52" s="25"/>
      <c r="T52" s="25"/>
      <c r="U52" s="25"/>
      <c r="V52" s="25"/>
      <c r="W52" s="25"/>
      <c r="X52" s="25"/>
      <c r="Y52" s="25"/>
    </row>
    <row r="53" spans="1:25" ht="30">
      <c r="A53" s="25"/>
      <c r="B53" s="7">
        <f t="shared" si="0"/>
        <v>50</v>
      </c>
      <c r="C53" s="7" t="s">
        <v>349</v>
      </c>
      <c r="D53" s="7" t="s">
        <v>212</v>
      </c>
      <c r="E53" s="7"/>
      <c r="F53" s="7"/>
      <c r="G53" s="9" t="s">
        <v>203</v>
      </c>
      <c r="H53" s="9" t="s">
        <v>302</v>
      </c>
      <c r="I53" s="9" t="s">
        <v>203</v>
      </c>
      <c r="J53" s="9" t="s">
        <v>203</v>
      </c>
      <c r="K53" s="7" t="s">
        <v>203</v>
      </c>
      <c r="L53" s="25"/>
      <c r="M53" s="25"/>
      <c r="N53" s="25"/>
      <c r="O53" s="25"/>
      <c r="P53" s="25"/>
      <c r="Q53" s="25"/>
      <c r="R53" s="25"/>
      <c r="S53" s="25"/>
      <c r="T53" s="25"/>
      <c r="U53" s="25"/>
      <c r="V53" s="25"/>
      <c r="W53" s="25"/>
      <c r="X53" s="25"/>
      <c r="Y53" s="25"/>
    </row>
    <row r="54" spans="1:25" ht="29.45" customHeight="1">
      <c r="A54" s="25"/>
      <c r="B54" s="7">
        <f t="shared" si="0"/>
        <v>51</v>
      </c>
      <c r="C54" s="7" t="s">
        <v>350</v>
      </c>
      <c r="D54" s="7" t="s">
        <v>212</v>
      </c>
      <c r="E54" s="7"/>
      <c r="F54" s="7"/>
      <c r="G54" s="9" t="s">
        <v>203</v>
      </c>
      <c r="H54" s="9" t="s">
        <v>302</v>
      </c>
      <c r="I54" s="9" t="s">
        <v>203</v>
      </c>
      <c r="J54" s="9" t="s">
        <v>203</v>
      </c>
      <c r="K54" s="7"/>
      <c r="L54" s="25"/>
      <c r="M54" s="25"/>
      <c r="N54" s="25"/>
      <c r="O54" s="25"/>
      <c r="P54" s="25"/>
      <c r="Q54" s="25"/>
      <c r="R54" s="25"/>
      <c r="S54" s="25"/>
      <c r="T54" s="25"/>
      <c r="U54" s="25"/>
      <c r="V54" s="25"/>
      <c r="W54" s="25"/>
      <c r="X54" s="25"/>
      <c r="Y54" s="25"/>
    </row>
    <row r="55" spans="1:25" ht="30">
      <c r="A55" s="25"/>
      <c r="B55" s="7">
        <f>B54+1</f>
        <v>52</v>
      </c>
      <c r="C55" s="7" t="s">
        <v>351</v>
      </c>
      <c r="D55" s="7" t="s">
        <v>213</v>
      </c>
      <c r="E55" s="7"/>
      <c r="F55" s="7"/>
      <c r="G55" s="9" t="s">
        <v>203</v>
      </c>
      <c r="H55" s="9" t="s">
        <v>302</v>
      </c>
      <c r="I55" s="9" t="s">
        <v>203</v>
      </c>
      <c r="J55" s="9" t="s">
        <v>203</v>
      </c>
      <c r="K55" s="7" t="s">
        <v>203</v>
      </c>
      <c r="L55" s="25"/>
      <c r="M55" s="25"/>
      <c r="N55" s="25"/>
      <c r="O55" s="25"/>
      <c r="P55" s="25"/>
      <c r="Q55" s="25"/>
      <c r="R55" s="25"/>
      <c r="S55" s="25"/>
      <c r="T55" s="25"/>
      <c r="U55" s="25"/>
      <c r="V55" s="25"/>
      <c r="W55" s="25"/>
      <c r="X55" s="25"/>
      <c r="Y55" s="25"/>
    </row>
    <row r="56" spans="1:25" ht="30">
      <c r="A56" s="25"/>
      <c r="B56" s="7">
        <f t="shared" si="0"/>
        <v>53</v>
      </c>
      <c r="C56" s="7" t="s">
        <v>352</v>
      </c>
      <c r="D56" s="7" t="s">
        <v>213</v>
      </c>
      <c r="E56" s="7"/>
      <c r="F56" s="7"/>
      <c r="G56" s="9" t="s">
        <v>205</v>
      </c>
      <c r="H56" s="9" t="s">
        <v>297</v>
      </c>
      <c r="I56" s="9" t="s">
        <v>205</v>
      </c>
      <c r="J56" s="9" t="s">
        <v>205</v>
      </c>
      <c r="K56" s="7" t="s">
        <v>203</v>
      </c>
      <c r="L56" s="25"/>
      <c r="M56" s="25"/>
      <c r="N56" s="25"/>
      <c r="O56" s="25"/>
      <c r="P56" s="25"/>
      <c r="Q56" s="25"/>
      <c r="R56" s="25"/>
      <c r="S56" s="25"/>
      <c r="T56" s="25"/>
      <c r="U56" s="25"/>
      <c r="V56" s="25"/>
      <c r="W56" s="25"/>
      <c r="X56" s="25"/>
      <c r="Y56" s="25"/>
    </row>
    <row r="57" spans="1:25" ht="30">
      <c r="A57" s="25"/>
      <c r="B57" s="7">
        <f t="shared" si="0"/>
        <v>54</v>
      </c>
      <c r="C57" s="7" t="s">
        <v>353</v>
      </c>
      <c r="D57" s="7" t="s">
        <v>213</v>
      </c>
      <c r="E57" s="7"/>
      <c r="F57" s="7"/>
      <c r="G57" s="9" t="s">
        <v>205</v>
      </c>
      <c r="H57" s="9" t="s">
        <v>297</v>
      </c>
      <c r="I57" s="9" t="s">
        <v>203</v>
      </c>
      <c r="J57" s="9" t="s">
        <v>203</v>
      </c>
      <c r="K57" s="7" t="s">
        <v>203</v>
      </c>
      <c r="L57" s="25"/>
      <c r="M57" s="25"/>
      <c r="N57" s="25"/>
      <c r="O57" s="25"/>
      <c r="P57" s="25"/>
      <c r="Q57" s="25"/>
      <c r="R57" s="25"/>
      <c r="S57" s="25"/>
      <c r="T57" s="25"/>
      <c r="U57" s="25"/>
      <c r="V57" s="25"/>
      <c r="W57" s="25"/>
      <c r="X57" s="25"/>
      <c r="Y57" s="25"/>
    </row>
    <row r="58" spans="1:25" ht="30">
      <c r="A58" s="25"/>
      <c r="B58" s="7">
        <f t="shared" si="0"/>
        <v>55</v>
      </c>
      <c r="C58" s="7" t="s">
        <v>354</v>
      </c>
      <c r="D58" s="7" t="s">
        <v>213</v>
      </c>
      <c r="E58" s="7"/>
      <c r="F58" s="7"/>
      <c r="G58" s="9" t="s">
        <v>205</v>
      </c>
      <c r="H58" s="9" t="s">
        <v>297</v>
      </c>
      <c r="I58" s="9" t="s">
        <v>203</v>
      </c>
      <c r="J58" s="9" t="s">
        <v>203</v>
      </c>
      <c r="K58" s="7" t="s">
        <v>203</v>
      </c>
      <c r="L58" s="25"/>
      <c r="M58" s="25"/>
      <c r="N58" s="25"/>
      <c r="O58" s="25"/>
      <c r="P58" s="25"/>
      <c r="Q58" s="25"/>
      <c r="R58" s="25"/>
      <c r="S58" s="25"/>
      <c r="T58" s="25"/>
      <c r="U58" s="25"/>
      <c r="V58" s="25"/>
      <c r="W58" s="25"/>
      <c r="X58" s="25"/>
      <c r="Y58" s="25"/>
    </row>
    <row r="59" spans="1:25" ht="30">
      <c r="A59" s="25"/>
      <c r="B59" s="7">
        <f t="shared" si="0"/>
        <v>56</v>
      </c>
      <c r="C59" s="7" t="s">
        <v>355</v>
      </c>
      <c r="D59" s="7" t="s">
        <v>209</v>
      </c>
      <c r="E59" s="7"/>
      <c r="F59" s="7"/>
      <c r="G59" s="9" t="s">
        <v>205</v>
      </c>
      <c r="H59" s="9" t="s">
        <v>297</v>
      </c>
      <c r="I59" s="9" t="s">
        <v>205</v>
      </c>
      <c r="J59" s="9" t="s">
        <v>205</v>
      </c>
      <c r="K59" s="7" t="s">
        <v>203</v>
      </c>
      <c r="L59" s="25"/>
      <c r="M59" s="25"/>
      <c r="N59" s="25"/>
      <c r="O59" s="25"/>
      <c r="P59" s="25"/>
      <c r="Q59" s="25"/>
      <c r="R59" s="25"/>
      <c r="S59" s="25"/>
      <c r="T59" s="25"/>
      <c r="U59" s="25"/>
      <c r="V59" s="25"/>
      <c r="W59" s="25"/>
      <c r="X59" s="25"/>
      <c r="Y59" s="25"/>
    </row>
    <row r="60" spans="1:25" ht="30">
      <c r="A60" s="25"/>
      <c r="B60" s="7">
        <f t="shared" si="0"/>
        <v>57</v>
      </c>
      <c r="C60" s="7" t="s">
        <v>356</v>
      </c>
      <c r="D60" s="7" t="s">
        <v>214</v>
      </c>
      <c r="E60" s="7"/>
      <c r="F60" s="7"/>
      <c r="G60" s="9" t="s">
        <v>203</v>
      </c>
      <c r="H60" s="9" t="s">
        <v>302</v>
      </c>
      <c r="I60" s="9" t="s">
        <v>323</v>
      </c>
      <c r="J60" s="9" t="s">
        <v>205</v>
      </c>
      <c r="K60" s="7" t="s">
        <v>203</v>
      </c>
      <c r="L60" s="25"/>
      <c r="M60" s="25"/>
      <c r="N60" s="25"/>
      <c r="O60" s="25"/>
      <c r="P60" s="25"/>
      <c r="Q60" s="25"/>
      <c r="R60" s="25"/>
      <c r="S60" s="25"/>
      <c r="T60" s="25"/>
      <c r="U60" s="25"/>
      <c r="V60" s="25"/>
      <c r="W60" s="25"/>
      <c r="X60" s="25"/>
      <c r="Y60" s="25"/>
    </row>
    <row r="61" spans="1:25" ht="30">
      <c r="A61" s="25"/>
      <c r="B61" s="7">
        <f t="shared" si="0"/>
        <v>58</v>
      </c>
      <c r="C61" s="7" t="s">
        <v>357</v>
      </c>
      <c r="D61" s="7" t="s">
        <v>209</v>
      </c>
      <c r="E61" s="7"/>
      <c r="F61" s="7"/>
      <c r="G61" s="9" t="s">
        <v>203</v>
      </c>
      <c r="H61" s="9" t="s">
        <v>302</v>
      </c>
      <c r="I61" s="9" t="s">
        <v>205</v>
      </c>
      <c r="J61" s="9" t="s">
        <v>205</v>
      </c>
      <c r="K61" s="7" t="s">
        <v>203</v>
      </c>
      <c r="L61" s="25"/>
      <c r="M61" s="25"/>
      <c r="N61" s="25"/>
      <c r="O61" s="25"/>
      <c r="P61" s="25"/>
      <c r="Q61" s="25"/>
      <c r="R61" s="25"/>
      <c r="S61" s="25"/>
      <c r="T61" s="25"/>
      <c r="U61" s="25"/>
      <c r="V61" s="25"/>
      <c r="W61" s="25"/>
      <c r="X61" s="25"/>
      <c r="Y61" s="25"/>
    </row>
    <row r="62" spans="1:25" ht="30">
      <c r="A62" s="25"/>
      <c r="B62" s="7">
        <f t="shared" si="0"/>
        <v>59</v>
      </c>
      <c r="C62" s="7" t="s">
        <v>358</v>
      </c>
      <c r="D62" s="7" t="s">
        <v>209</v>
      </c>
      <c r="E62" s="7"/>
      <c r="F62" s="7"/>
      <c r="G62" s="9" t="s">
        <v>203</v>
      </c>
      <c r="H62" s="9" t="s">
        <v>302</v>
      </c>
      <c r="I62" s="9" t="s">
        <v>323</v>
      </c>
      <c r="J62" s="9" t="s">
        <v>205</v>
      </c>
      <c r="K62" s="7" t="s">
        <v>203</v>
      </c>
      <c r="L62" s="25"/>
      <c r="M62" s="25"/>
      <c r="N62" s="25"/>
      <c r="O62" s="25"/>
      <c r="P62" s="25"/>
      <c r="Q62" s="25"/>
      <c r="R62" s="25"/>
      <c r="S62" s="25"/>
      <c r="T62" s="25"/>
      <c r="U62" s="25"/>
      <c r="V62" s="25"/>
      <c r="W62" s="25"/>
      <c r="X62" s="25"/>
      <c r="Y62" s="25"/>
    </row>
    <row r="63" spans="1:25" ht="30">
      <c r="A63" s="25"/>
      <c r="B63" s="7">
        <f t="shared" si="0"/>
        <v>60</v>
      </c>
      <c r="C63" s="7" t="s">
        <v>359</v>
      </c>
      <c r="D63" s="7" t="s">
        <v>209</v>
      </c>
      <c r="E63" s="7"/>
      <c r="F63" s="7"/>
      <c r="G63" s="9" t="s">
        <v>203</v>
      </c>
      <c r="H63" s="9" t="s">
        <v>302</v>
      </c>
      <c r="I63" s="9" t="s">
        <v>205</v>
      </c>
      <c r="J63" s="9" t="s">
        <v>205</v>
      </c>
      <c r="K63" s="7" t="s">
        <v>203</v>
      </c>
      <c r="L63" s="25"/>
      <c r="M63" s="25"/>
      <c r="N63" s="25"/>
      <c r="O63" s="25"/>
      <c r="P63" s="25"/>
      <c r="Q63" s="25"/>
      <c r="R63" s="25"/>
      <c r="S63" s="25"/>
      <c r="T63" s="25"/>
      <c r="U63" s="25"/>
      <c r="V63" s="25"/>
      <c r="W63" s="25"/>
      <c r="X63" s="25"/>
      <c r="Y63" s="25"/>
    </row>
    <row r="64" spans="1:25" ht="30">
      <c r="A64" s="25"/>
      <c r="B64" s="7">
        <f t="shared" si="0"/>
        <v>61</v>
      </c>
      <c r="C64" s="7" t="s">
        <v>360</v>
      </c>
      <c r="D64" s="7" t="s">
        <v>209</v>
      </c>
      <c r="E64" s="7"/>
      <c r="F64" s="7"/>
      <c r="G64" s="9" t="s">
        <v>203</v>
      </c>
      <c r="H64" s="9" t="s">
        <v>302</v>
      </c>
      <c r="I64" s="9" t="s">
        <v>323</v>
      </c>
      <c r="J64" s="9" t="s">
        <v>205</v>
      </c>
      <c r="K64" s="7" t="s">
        <v>203</v>
      </c>
      <c r="L64" s="25"/>
      <c r="M64" s="25"/>
      <c r="N64" s="25"/>
      <c r="O64" s="25"/>
      <c r="P64" s="25"/>
      <c r="Q64" s="25"/>
      <c r="R64" s="25"/>
      <c r="S64" s="25"/>
      <c r="T64" s="25"/>
      <c r="U64" s="25"/>
      <c r="V64" s="25"/>
      <c r="W64" s="25"/>
      <c r="X64" s="25"/>
      <c r="Y64" s="25"/>
    </row>
    <row r="65" spans="1:25" ht="30">
      <c r="A65" s="25"/>
      <c r="B65" s="7">
        <f t="shared" si="0"/>
        <v>62</v>
      </c>
      <c r="C65" s="7" t="s">
        <v>361</v>
      </c>
      <c r="D65" s="7" t="s">
        <v>209</v>
      </c>
      <c r="E65" s="7"/>
      <c r="F65" s="7"/>
      <c r="G65" s="9" t="s">
        <v>203</v>
      </c>
      <c r="H65" s="9" t="s">
        <v>302</v>
      </c>
      <c r="I65" s="9" t="s">
        <v>323</v>
      </c>
      <c r="J65" s="9" t="s">
        <v>205</v>
      </c>
      <c r="K65" s="7" t="s">
        <v>203</v>
      </c>
      <c r="L65" s="25"/>
      <c r="M65" s="25"/>
      <c r="N65" s="25"/>
      <c r="O65" s="25"/>
      <c r="P65" s="25"/>
      <c r="Q65" s="25"/>
      <c r="R65" s="25"/>
      <c r="S65" s="25"/>
      <c r="T65" s="25"/>
      <c r="U65" s="25"/>
      <c r="V65" s="25"/>
      <c r="W65" s="25"/>
      <c r="X65" s="25"/>
      <c r="Y65" s="25"/>
    </row>
    <row r="66" spans="1:25" ht="30">
      <c r="A66" s="25"/>
      <c r="B66" s="7">
        <f t="shared" si="0"/>
        <v>63</v>
      </c>
      <c r="C66" s="7" t="s">
        <v>362</v>
      </c>
      <c r="D66" s="7" t="s">
        <v>209</v>
      </c>
      <c r="E66" s="7"/>
      <c r="F66" s="7"/>
      <c r="G66" s="9" t="s">
        <v>203</v>
      </c>
      <c r="H66" s="9" t="s">
        <v>302</v>
      </c>
      <c r="I66" s="9" t="s">
        <v>323</v>
      </c>
      <c r="J66" s="9" t="s">
        <v>323</v>
      </c>
      <c r="K66" s="7" t="s">
        <v>203</v>
      </c>
      <c r="L66" s="25"/>
      <c r="M66" s="25"/>
      <c r="N66" s="25"/>
      <c r="O66" s="25"/>
      <c r="P66" s="25"/>
      <c r="Q66" s="25"/>
      <c r="R66" s="25"/>
      <c r="S66" s="25"/>
      <c r="T66" s="25"/>
      <c r="U66" s="25"/>
      <c r="V66" s="25"/>
      <c r="W66" s="25"/>
      <c r="X66" s="25"/>
      <c r="Y66" s="25"/>
    </row>
    <row r="67" spans="1:25" ht="30">
      <c r="A67" s="25"/>
      <c r="B67" s="7">
        <f t="shared" si="0"/>
        <v>64</v>
      </c>
      <c r="C67" s="7" t="s">
        <v>363</v>
      </c>
      <c r="D67" s="7" t="s">
        <v>209</v>
      </c>
      <c r="E67" s="7"/>
      <c r="F67" s="7"/>
      <c r="G67" s="9" t="s">
        <v>203</v>
      </c>
      <c r="H67" s="9" t="s">
        <v>302</v>
      </c>
      <c r="I67" s="9" t="s">
        <v>323</v>
      </c>
      <c r="J67" s="9" t="s">
        <v>205</v>
      </c>
      <c r="K67" s="7" t="s">
        <v>203</v>
      </c>
      <c r="L67" s="25"/>
      <c r="M67" s="25"/>
      <c r="N67" s="25"/>
      <c r="O67" s="25"/>
      <c r="P67" s="25"/>
      <c r="Q67" s="25"/>
      <c r="R67" s="25"/>
      <c r="S67" s="25"/>
      <c r="T67" s="25"/>
      <c r="U67" s="25"/>
      <c r="V67" s="25"/>
      <c r="W67" s="25"/>
      <c r="X67" s="25"/>
      <c r="Y67" s="25"/>
    </row>
    <row r="68" spans="1:25" ht="30">
      <c r="A68" s="25"/>
      <c r="B68" s="7">
        <f t="shared" si="0"/>
        <v>65</v>
      </c>
      <c r="C68" s="7" t="s">
        <v>364</v>
      </c>
      <c r="D68" s="7" t="s">
        <v>209</v>
      </c>
      <c r="E68" s="7"/>
      <c r="F68" s="7"/>
      <c r="G68" s="9" t="s">
        <v>205</v>
      </c>
      <c r="H68" s="9" t="s">
        <v>297</v>
      </c>
      <c r="I68" s="9" t="s">
        <v>205</v>
      </c>
      <c r="J68" s="9" t="s">
        <v>205</v>
      </c>
      <c r="K68" s="7" t="s">
        <v>203</v>
      </c>
      <c r="L68" s="25"/>
      <c r="M68" s="25"/>
      <c r="N68" s="25"/>
      <c r="O68" s="25"/>
      <c r="P68" s="25"/>
      <c r="Q68" s="25"/>
      <c r="R68" s="25"/>
      <c r="S68" s="25"/>
      <c r="T68" s="25"/>
      <c r="U68" s="25"/>
      <c r="V68" s="25"/>
      <c r="W68" s="25"/>
      <c r="X68" s="25"/>
      <c r="Y68" s="25"/>
    </row>
    <row r="69" spans="1:25" ht="30">
      <c r="A69" s="25"/>
      <c r="B69" s="7">
        <f t="shared" si="0"/>
        <v>66</v>
      </c>
      <c r="C69" s="7" t="s">
        <v>365</v>
      </c>
      <c r="D69" s="9" t="s">
        <v>208</v>
      </c>
      <c r="E69" s="7"/>
      <c r="F69" s="7"/>
      <c r="G69" s="9" t="s">
        <v>203</v>
      </c>
      <c r="H69" s="9" t="s">
        <v>302</v>
      </c>
      <c r="I69" s="9" t="s">
        <v>205</v>
      </c>
      <c r="J69" s="9" t="s">
        <v>205</v>
      </c>
      <c r="K69" s="7" t="s">
        <v>203</v>
      </c>
      <c r="L69" s="25"/>
      <c r="M69" s="25"/>
      <c r="N69" s="25"/>
      <c r="O69" s="25"/>
      <c r="P69" s="25"/>
      <c r="Q69" s="25"/>
      <c r="R69" s="25"/>
      <c r="S69" s="25"/>
      <c r="T69" s="25"/>
      <c r="U69" s="25"/>
      <c r="V69" s="25"/>
      <c r="W69" s="25"/>
      <c r="X69" s="25"/>
      <c r="Y69" s="25"/>
    </row>
    <row r="70" spans="1:25" ht="30">
      <c r="A70" s="25"/>
      <c r="B70" s="7">
        <f t="shared" si="0"/>
        <v>67</v>
      </c>
      <c r="C70" s="7" t="s">
        <v>366</v>
      </c>
      <c r="D70" s="9" t="s">
        <v>208</v>
      </c>
      <c r="E70" s="7"/>
      <c r="F70" s="7"/>
      <c r="G70" s="9" t="s">
        <v>203</v>
      </c>
      <c r="H70" s="9" t="s">
        <v>302</v>
      </c>
      <c r="I70" s="9" t="s">
        <v>205</v>
      </c>
      <c r="J70" s="9" t="s">
        <v>205</v>
      </c>
      <c r="K70" s="7" t="s">
        <v>203</v>
      </c>
      <c r="L70" s="25"/>
      <c r="M70" s="25"/>
      <c r="N70" s="25"/>
      <c r="O70" s="25"/>
      <c r="P70" s="25"/>
      <c r="Q70" s="25"/>
      <c r="R70" s="25"/>
      <c r="S70" s="25"/>
      <c r="T70" s="25"/>
      <c r="U70" s="25"/>
      <c r="V70" s="25"/>
      <c r="W70" s="25"/>
      <c r="X70" s="25"/>
      <c r="Y70" s="25"/>
    </row>
    <row r="71" spans="1:25" ht="30.75" thickBot="1">
      <c r="A71" s="25"/>
      <c r="B71" s="229">
        <f t="shared" si="0"/>
        <v>68</v>
      </c>
      <c r="C71" s="229" t="s">
        <v>367</v>
      </c>
      <c r="D71" s="242" t="s">
        <v>208</v>
      </c>
      <c r="E71" s="229"/>
      <c r="F71" s="229"/>
      <c r="G71" s="242" t="s">
        <v>205</v>
      </c>
      <c r="H71" s="242" t="s">
        <v>297</v>
      </c>
      <c r="I71" s="242" t="s">
        <v>205</v>
      </c>
      <c r="J71" s="242" t="s">
        <v>205</v>
      </c>
      <c r="K71" s="7" t="s">
        <v>203</v>
      </c>
      <c r="L71" s="25"/>
      <c r="M71" s="25"/>
      <c r="N71" s="25"/>
      <c r="O71" s="25"/>
      <c r="P71" s="25"/>
      <c r="Q71" s="25"/>
      <c r="R71" s="25"/>
      <c r="S71" s="25"/>
      <c r="T71" s="25"/>
      <c r="U71" s="25"/>
      <c r="V71" s="25"/>
      <c r="W71" s="25"/>
      <c r="X71" s="25"/>
      <c r="Y71" s="25"/>
    </row>
    <row r="72" spans="1:25" ht="30">
      <c r="A72" s="25"/>
      <c r="B72" s="221">
        <f t="shared" si="0"/>
        <v>69</v>
      </c>
      <c r="C72" s="221" t="s">
        <v>233</v>
      </c>
      <c r="D72" s="221" t="s">
        <v>226</v>
      </c>
      <c r="E72" s="221"/>
      <c r="F72" s="221"/>
      <c r="G72" s="386" t="s">
        <v>205</v>
      </c>
      <c r="H72" s="386" t="s">
        <v>302</v>
      </c>
      <c r="I72" s="386" t="s">
        <v>203</v>
      </c>
      <c r="J72" s="386" t="s">
        <v>203</v>
      </c>
      <c r="K72" s="7" t="s">
        <v>203</v>
      </c>
      <c r="L72" s="25"/>
      <c r="M72" s="25"/>
      <c r="N72" s="25"/>
      <c r="O72" s="25"/>
      <c r="P72" s="25"/>
      <c r="Q72" s="25"/>
      <c r="R72" s="25"/>
      <c r="S72" s="25"/>
      <c r="T72" s="25"/>
      <c r="U72" s="25"/>
      <c r="V72" s="25"/>
      <c r="W72" s="25"/>
      <c r="X72" s="25"/>
      <c r="Y72" s="25"/>
    </row>
    <row r="73" spans="1:25" ht="30">
      <c r="A73" s="25"/>
      <c r="B73" s="7">
        <f t="shared" si="0"/>
        <v>70</v>
      </c>
      <c r="C73" s="7" t="s">
        <v>234</v>
      </c>
      <c r="D73" s="7" t="s">
        <v>226</v>
      </c>
      <c r="E73" s="7"/>
      <c r="F73" s="7"/>
      <c r="G73" s="9" t="s">
        <v>205</v>
      </c>
      <c r="H73" s="9" t="s">
        <v>302</v>
      </c>
      <c r="I73" s="9" t="s">
        <v>203</v>
      </c>
      <c r="J73" s="9" t="s">
        <v>203</v>
      </c>
      <c r="K73" s="7" t="s">
        <v>203</v>
      </c>
      <c r="L73" s="25"/>
      <c r="M73" s="25"/>
      <c r="N73" s="25"/>
      <c r="O73" s="25"/>
      <c r="P73" s="25"/>
      <c r="Q73" s="25"/>
      <c r="R73" s="25"/>
      <c r="S73" s="25"/>
      <c r="T73" s="25"/>
      <c r="U73" s="25"/>
      <c r="V73" s="25"/>
      <c r="W73" s="25"/>
      <c r="X73" s="25"/>
      <c r="Y73" s="25"/>
    </row>
    <row r="74" spans="1:25" ht="30">
      <c r="A74" s="25"/>
      <c r="B74" s="7">
        <f t="shared" si="0"/>
        <v>71</v>
      </c>
      <c r="C74" s="7" t="s">
        <v>235</v>
      </c>
      <c r="D74" s="7" t="s">
        <v>226</v>
      </c>
      <c r="E74" s="7"/>
      <c r="F74" s="7"/>
      <c r="G74" s="9" t="s">
        <v>205</v>
      </c>
      <c r="H74" s="9" t="s">
        <v>302</v>
      </c>
      <c r="I74" s="9" t="s">
        <v>203</v>
      </c>
      <c r="J74" s="9" t="s">
        <v>203</v>
      </c>
      <c r="K74" s="7" t="s">
        <v>203</v>
      </c>
      <c r="L74" s="25"/>
      <c r="M74" s="25"/>
      <c r="N74" s="25"/>
      <c r="O74" s="25"/>
      <c r="P74" s="25"/>
      <c r="Q74" s="25"/>
      <c r="R74" s="25"/>
      <c r="S74" s="25"/>
      <c r="T74" s="25"/>
      <c r="U74" s="25"/>
      <c r="V74" s="25"/>
      <c r="W74" s="25"/>
      <c r="X74" s="25"/>
      <c r="Y74" s="25"/>
    </row>
    <row r="75" spans="1:25" ht="30">
      <c r="A75" s="25"/>
      <c r="B75" s="7">
        <f t="shared" si="0"/>
        <v>72</v>
      </c>
      <c r="C75" s="7" t="s">
        <v>239</v>
      </c>
      <c r="D75" s="7" t="s">
        <v>226</v>
      </c>
      <c r="E75" s="7"/>
      <c r="F75" s="7"/>
      <c r="G75" s="9" t="s">
        <v>203</v>
      </c>
      <c r="H75" s="9" t="s">
        <v>302</v>
      </c>
      <c r="I75" s="9" t="s">
        <v>203</v>
      </c>
      <c r="J75" s="9" t="s">
        <v>203</v>
      </c>
      <c r="K75" s="7" t="s">
        <v>203</v>
      </c>
      <c r="L75" s="25"/>
      <c r="M75" s="25"/>
      <c r="N75" s="25"/>
      <c r="O75" s="25"/>
      <c r="P75" s="25"/>
      <c r="Q75" s="25"/>
      <c r="R75" s="25"/>
      <c r="S75" s="25"/>
      <c r="T75" s="25"/>
      <c r="U75" s="25"/>
      <c r="V75" s="25"/>
      <c r="W75" s="25"/>
      <c r="X75" s="25"/>
      <c r="Y75" s="25"/>
    </row>
    <row r="76" spans="1:25" ht="29.45" customHeight="1">
      <c r="A76" s="25"/>
      <c r="B76" s="7">
        <f t="shared" si="0"/>
        <v>73</v>
      </c>
      <c r="C76" s="7" t="s">
        <v>243</v>
      </c>
      <c r="D76" s="7" t="s">
        <v>226</v>
      </c>
      <c r="E76" s="7"/>
      <c r="F76" s="7"/>
      <c r="G76" s="9" t="s">
        <v>331</v>
      </c>
      <c r="H76" s="9" t="s">
        <v>332</v>
      </c>
      <c r="I76" s="9" t="s">
        <v>203</v>
      </c>
      <c r="J76" s="9" t="s">
        <v>203</v>
      </c>
      <c r="K76" s="7" t="s">
        <v>203</v>
      </c>
      <c r="L76" s="25"/>
      <c r="M76" s="25"/>
      <c r="N76" s="25"/>
      <c r="O76" s="25"/>
      <c r="P76" s="25"/>
      <c r="Q76" s="25"/>
      <c r="R76" s="25"/>
      <c r="S76" s="25"/>
      <c r="T76" s="25"/>
      <c r="U76" s="25"/>
      <c r="V76" s="25"/>
      <c r="W76" s="25"/>
      <c r="X76" s="25"/>
      <c r="Y76" s="25"/>
    </row>
    <row r="77" spans="1:25" ht="30">
      <c r="A77" s="25"/>
      <c r="B77" s="7">
        <f t="shared" ref="B77:B102" si="1">B76+1</f>
        <v>74</v>
      </c>
      <c r="C77" s="7" t="s">
        <v>240</v>
      </c>
      <c r="D77" s="7" t="s">
        <v>226</v>
      </c>
      <c r="E77" s="7"/>
      <c r="F77" s="7"/>
      <c r="G77" s="9" t="s">
        <v>203</v>
      </c>
      <c r="H77" s="9" t="s">
        <v>302</v>
      </c>
      <c r="I77" s="9" t="s">
        <v>203</v>
      </c>
      <c r="J77" s="9" t="s">
        <v>203</v>
      </c>
      <c r="K77" s="7" t="s">
        <v>203</v>
      </c>
      <c r="L77" s="25"/>
      <c r="M77" s="25"/>
      <c r="N77" s="25"/>
      <c r="O77" s="25"/>
      <c r="P77" s="25"/>
      <c r="Q77" s="25"/>
      <c r="R77" s="25"/>
      <c r="S77" s="25"/>
      <c r="T77" s="25"/>
      <c r="U77" s="25"/>
      <c r="V77" s="25"/>
      <c r="W77" s="25"/>
      <c r="X77" s="25"/>
      <c r="Y77" s="25"/>
    </row>
    <row r="78" spans="1:25" ht="30">
      <c r="A78" s="25"/>
      <c r="B78" s="7">
        <f t="shared" si="1"/>
        <v>75</v>
      </c>
      <c r="C78" s="7" t="s">
        <v>236</v>
      </c>
      <c r="D78" s="7" t="s">
        <v>226</v>
      </c>
      <c r="E78" s="7"/>
      <c r="F78" s="7"/>
      <c r="G78" s="9" t="s">
        <v>205</v>
      </c>
      <c r="H78" s="9" t="s">
        <v>302</v>
      </c>
      <c r="I78" s="9" t="s">
        <v>203</v>
      </c>
      <c r="J78" s="9" t="s">
        <v>203</v>
      </c>
      <c r="K78" s="7" t="s">
        <v>203</v>
      </c>
      <c r="L78" s="25"/>
      <c r="M78" s="25"/>
      <c r="N78" s="25"/>
      <c r="O78" s="25"/>
      <c r="P78" s="25"/>
      <c r="Q78" s="25"/>
      <c r="R78" s="25"/>
      <c r="S78" s="25"/>
      <c r="T78" s="25"/>
      <c r="U78" s="25"/>
      <c r="V78" s="25"/>
      <c r="W78" s="25"/>
      <c r="X78" s="25"/>
      <c r="Y78" s="25"/>
    </row>
    <row r="79" spans="1:25" ht="30">
      <c r="A79" s="25"/>
      <c r="B79" s="7">
        <f t="shared" si="1"/>
        <v>76</v>
      </c>
      <c r="C79" s="7" t="s">
        <v>241</v>
      </c>
      <c r="D79" s="7" t="s">
        <v>226</v>
      </c>
      <c r="E79" s="7"/>
      <c r="F79" s="7"/>
      <c r="G79" s="9" t="s">
        <v>203</v>
      </c>
      <c r="H79" s="9" t="s">
        <v>302</v>
      </c>
      <c r="I79" s="9" t="s">
        <v>203</v>
      </c>
      <c r="J79" s="9" t="s">
        <v>203</v>
      </c>
      <c r="K79" s="7" t="s">
        <v>203</v>
      </c>
      <c r="L79" s="25"/>
      <c r="M79" s="25"/>
      <c r="N79" s="25"/>
      <c r="O79" s="25"/>
      <c r="P79" s="25"/>
      <c r="Q79" s="25"/>
      <c r="R79" s="25"/>
      <c r="S79" s="25"/>
      <c r="T79" s="25"/>
      <c r="U79" s="25"/>
      <c r="V79" s="25"/>
      <c r="W79" s="25"/>
      <c r="X79" s="25"/>
      <c r="Y79" s="25"/>
    </row>
    <row r="80" spans="1:25" ht="30.75" thickBot="1">
      <c r="A80" s="25"/>
      <c r="B80" s="229">
        <f t="shared" si="1"/>
        <v>77</v>
      </c>
      <c r="C80" s="229" t="s">
        <v>237</v>
      </c>
      <c r="D80" s="229" t="s">
        <v>226</v>
      </c>
      <c r="E80" s="229"/>
      <c r="F80" s="229"/>
      <c r="G80" s="242" t="s">
        <v>205</v>
      </c>
      <c r="H80" s="242" t="s">
        <v>302</v>
      </c>
      <c r="I80" s="242" t="s">
        <v>203</v>
      </c>
      <c r="J80" s="242" t="s">
        <v>203</v>
      </c>
      <c r="K80" s="7" t="s">
        <v>203</v>
      </c>
      <c r="L80" s="25"/>
      <c r="M80" s="25"/>
      <c r="N80" s="25"/>
      <c r="O80" s="25"/>
      <c r="P80" s="25"/>
      <c r="Q80" s="25"/>
      <c r="R80" s="25"/>
      <c r="S80" s="25"/>
      <c r="T80" s="25"/>
      <c r="U80" s="25"/>
      <c r="V80" s="25"/>
      <c r="W80" s="25"/>
      <c r="X80" s="25"/>
      <c r="Y80" s="25"/>
    </row>
    <row r="81" spans="1:25">
      <c r="A81" s="25"/>
      <c r="B81" s="257">
        <f t="shared" si="1"/>
        <v>78</v>
      </c>
      <c r="C81" s="257" t="s">
        <v>260</v>
      </c>
      <c r="D81" s="257" t="s">
        <v>368</v>
      </c>
      <c r="E81" s="257"/>
      <c r="F81" s="257"/>
      <c r="G81" s="257" t="s">
        <v>205</v>
      </c>
      <c r="H81" s="548" t="s">
        <v>369</v>
      </c>
      <c r="I81" s="257" t="s">
        <v>205</v>
      </c>
      <c r="J81" s="239" t="s">
        <v>203</v>
      </c>
      <c r="K81" s="7" t="s">
        <v>203</v>
      </c>
      <c r="L81" s="25"/>
      <c r="M81" s="25"/>
      <c r="N81" s="25"/>
      <c r="O81" s="25"/>
      <c r="P81" s="25"/>
      <c r="Q81" s="25"/>
      <c r="R81" s="25"/>
      <c r="S81" s="25"/>
      <c r="T81" s="25"/>
      <c r="U81" s="25"/>
      <c r="V81" s="25"/>
      <c r="W81" s="25"/>
      <c r="X81" s="25"/>
      <c r="Y81" s="25"/>
    </row>
    <row r="82" spans="1:25">
      <c r="A82" s="25"/>
      <c r="B82" s="7">
        <f t="shared" si="1"/>
        <v>79</v>
      </c>
      <c r="C82" s="7" t="s">
        <v>259</v>
      </c>
      <c r="D82" s="7" t="s">
        <v>368</v>
      </c>
      <c r="E82" s="7"/>
      <c r="F82" s="7"/>
      <c r="G82" s="7" t="s">
        <v>205</v>
      </c>
      <c r="H82" s="9" t="s">
        <v>369</v>
      </c>
      <c r="I82" s="7" t="s">
        <v>205</v>
      </c>
      <c r="J82" s="9" t="s">
        <v>203</v>
      </c>
      <c r="K82" s="7" t="s">
        <v>203</v>
      </c>
      <c r="L82" s="25"/>
      <c r="M82" s="25"/>
      <c r="N82" s="25"/>
      <c r="O82" s="25"/>
      <c r="P82" s="25"/>
      <c r="Q82" s="25"/>
      <c r="R82" s="25"/>
      <c r="S82" s="25"/>
      <c r="T82" s="25"/>
      <c r="U82" s="25"/>
      <c r="V82" s="25"/>
      <c r="W82" s="25"/>
      <c r="X82" s="25"/>
      <c r="Y82" s="25"/>
    </row>
    <row r="83" spans="1:25" ht="30.75" thickBot="1">
      <c r="A83" s="25"/>
      <c r="B83" s="229">
        <f t="shared" si="1"/>
        <v>80</v>
      </c>
      <c r="C83" s="229" t="s">
        <v>261</v>
      </c>
      <c r="D83" s="229" t="s">
        <v>368</v>
      </c>
      <c r="E83" s="229"/>
      <c r="F83" s="229"/>
      <c r="G83" s="229" t="s">
        <v>203</v>
      </c>
      <c r="H83" s="549" t="s">
        <v>370</v>
      </c>
      <c r="I83" s="229" t="s">
        <v>205</v>
      </c>
      <c r="J83" s="242" t="s">
        <v>371</v>
      </c>
      <c r="K83" s="7" t="s">
        <v>203</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203</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lFA+Ip+C2Yc5Rp+ehuB3PwFR81QFNPY5KbKIle6O1qxiC3LnUhEyIYREuUj2Xcx/Gb6ITGXcKasLXwbKdQwiXA==" saltValue="5XNAhunnpNlh8l+aGrJJmg=="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p:properties xmlns:p="http://schemas.microsoft.com/office/2006/metadata/properties" xmlns:xsi="http://www.w3.org/2001/XMLSchema-instance" xmlns:pc="http://schemas.microsoft.com/office/infopath/2007/PartnerControls">
  <documentManagement>
    <SharedWithUsers xmlns="e76eb3f9-f7d4-4afe-8d75-1839375753c6">
      <UserInfo>
        <DisplayName>Bird, Charlie</DisplayName>
        <AccountId>150</AccountId>
        <AccountType/>
      </UserInfo>
    </SharedWithUsers>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lcf76f155ced4ddcb4097134ff3c332f xmlns="c2882a20-fcb3-4e62-b082-ac21ed701140">
      <Terms xmlns="http://schemas.microsoft.com/office/infopath/2007/PartnerControls"/>
    </lcf76f155ced4ddcb4097134ff3c332f>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8" ma:contentTypeDescription="Create a new document." ma:contentTypeScope="" ma:versionID="39b77100eccfa31543f8e903a80ac79d">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fc5c4169defb533761f7a2c7095e3a46"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12EC6A-7AB7-48B0-AC85-B027A5CB91EE}">
  <ds:schemaRefs>
    <ds:schemaRef ds:uri="Microsoft.SharePoint.Taxonomy.ContentTypeSync"/>
  </ds:schemaRefs>
</ds:datastoreItem>
</file>

<file path=customXml/itemProps2.xml><?xml version="1.0" encoding="utf-8"?>
<ds:datastoreItem xmlns:ds="http://schemas.openxmlformats.org/officeDocument/2006/customXml" ds:itemID="{EF7B7032-2DF6-4F5B-9CAF-D3F582EC019C}">
  <ds:schemaRefs>
    <ds:schemaRef ds:uri="http://purl.org/dc/elements/1.1/"/>
    <ds:schemaRef ds:uri="c2882a20-fcb3-4e62-b082-ac21ed701140"/>
    <ds:schemaRef ds:uri="e76eb3f9-f7d4-4afe-8d75-1839375753c6"/>
    <ds:schemaRef ds:uri="http://schemas.microsoft.com/office/infopath/2007/PartnerControls"/>
    <ds:schemaRef ds:uri="http://purl.org/dc/dcmitype/"/>
    <ds:schemaRef ds:uri="http://www.w3.org/XML/1998/namespace"/>
    <ds:schemaRef ds:uri="http://purl.org/dc/terms/"/>
    <ds:schemaRef ds:uri="662745e8-e224-48e8-a2e3-254862b8c2f5"/>
    <ds:schemaRef ds:uri="http://schemas.microsoft.com/office/2006/documentManagement/type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4.xml><?xml version="1.0" encoding="utf-8"?>
<ds:datastoreItem xmlns:ds="http://schemas.openxmlformats.org/officeDocument/2006/customXml" ds:itemID="{BC9875B0-D398-4D4D-9727-68F6303D6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Ben Kirk</cp:lastModifiedBy>
  <cp:revision/>
  <dcterms:created xsi:type="dcterms:W3CDTF">2020-09-14T13:04:31Z</dcterms:created>
  <dcterms:modified xsi:type="dcterms:W3CDTF">2026-02-11T10:23:10Z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0x010100A5BF1C78D9F64B679A5EBDE1C6598EBC0100831A8755ECE0BB488F001DAB6ED05879</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